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W:\Highway\Materials\PCC\Field and Lab Reports\Plant Monitor\"/>
    </mc:Choice>
  </mc:AlternateContent>
  <xr:revisionPtr revIDLastSave="0" documentId="13_ncr:1_{46E4767E-1140-47F4-8376-B3B823294609}" xr6:coauthVersionLast="47" xr6:coauthVersionMax="47" xr10:uidLastSave="{00000000-0000-0000-0000-000000000000}"/>
  <bookViews>
    <workbookView xWindow="1950" yWindow="1950" windowWidth="21600" windowHeight="11325" tabRatio="872" activeTab="1" xr2:uid="{00000000-000D-0000-FFFF-FFFF00000000}"/>
  </bookViews>
  <sheets>
    <sheet name="Index" sheetId="28" r:id="rId1"/>
    <sheet name="Proj Info" sheetId="1" r:id="rId2"/>
    <sheet name="Plantinf" sheetId="18" r:id="rId3"/>
    <sheet name="E214" sheetId="19" r:id="rId4"/>
    <sheet name="E215" sheetId="29" r:id="rId5"/>
    <sheet name="E210" sheetId="21" r:id="rId6"/>
    <sheet name="QMC Mix" sheetId="17" r:id="rId7"/>
    <sheet name="Grad 1" sheetId="3" r:id="rId8"/>
    <sheet name="Grad 2" sheetId="4" r:id="rId9"/>
    <sheet name="Grad 3" sheetId="5" r:id="rId10"/>
    <sheet name="Grad 4" sheetId="15" r:id="rId11"/>
    <sheet name="Grad 5" sheetId="16" r:id="rId12"/>
    <sheet name="821283C" sheetId="7" r:id="rId13"/>
    <sheet name="CPI Grad" sheetId="26" r:id="rId14"/>
    <sheet name="IM 216" sheetId="27" r:id="rId15"/>
    <sheet name="E114" sheetId="22" r:id="rId16"/>
    <sheet name="M114" sheetId="30" state="hidden" r:id="rId17"/>
    <sheet name="Diary3" sheetId="23" r:id="rId18"/>
    <sheet name="Diary4" sheetId="25" r:id="rId19"/>
  </sheets>
  <definedNames>
    <definedName name="Mixes">#REF!</definedName>
    <definedName name="_xlnm.Print_Area" localSheetId="12">'821283C'!$A$1:$Q$62</definedName>
    <definedName name="_xlnm.Print_Area" localSheetId="7">'Grad 1'!$A$1:$J$52</definedName>
    <definedName name="_xlnm.Print_Area" localSheetId="8">'Grad 2'!$A$1:$J$52</definedName>
    <definedName name="_xlnm.Print_Area" localSheetId="9">'Grad 3'!$A$1:$J$52</definedName>
    <definedName name="_xlnm.Print_Area" localSheetId="10">'Grad 4'!$A$1:$J$52</definedName>
    <definedName name="_xlnm.Print_Area" localSheetId="11">'Grad 5'!$A$1:$J$52</definedName>
    <definedName name="_xlnm.Print_Area" localSheetId="1">'Proj Info'!$A$1:$D$62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52" i="1"/>
  <c r="B51" i="1"/>
  <c r="B50" i="1"/>
  <c r="B49" i="1"/>
  <c r="B47" i="1"/>
  <c r="O29" i="7"/>
  <c r="O28" i="7"/>
  <c r="O27" i="7"/>
  <c r="O26" i="7"/>
  <c r="O25" i="7"/>
  <c r="J26" i="5" l="1"/>
  <c r="J24" i="4"/>
  <c r="J27" i="3"/>
  <c r="J26" i="3"/>
  <c r="J31" i="16"/>
  <c r="J28" i="3"/>
  <c r="J27" i="15"/>
  <c r="J26" i="15"/>
  <c r="J25" i="5"/>
  <c r="J24" i="5"/>
  <c r="J28" i="15" l="1"/>
  <c r="J31" i="15"/>
  <c r="J24" i="16"/>
  <c r="J25" i="4"/>
  <c r="J27" i="5"/>
  <c r="J24" i="3"/>
  <c r="J26" i="4"/>
  <c r="J28" i="5"/>
  <c r="J25" i="3"/>
  <c r="J27" i="4"/>
  <c r="J31" i="5"/>
  <c r="J25" i="16"/>
  <c r="J26" i="16"/>
  <c r="J27" i="16"/>
  <c r="J28" i="4"/>
  <c r="J24" i="15"/>
  <c r="J28" i="16"/>
  <c r="J31" i="4"/>
  <c r="J25" i="15"/>
  <c r="J31" i="3"/>
  <c r="N50" i="22"/>
  <c r="O50" i="22" s="1"/>
  <c r="N49" i="22"/>
  <c r="O49" i="22" s="1"/>
  <c r="N48" i="22"/>
  <c r="O48" i="22" s="1"/>
  <c r="N47" i="22"/>
  <c r="O47" i="22" s="1"/>
  <c r="N46" i="22"/>
  <c r="O46" i="22" s="1"/>
  <c r="N45" i="22"/>
  <c r="O45" i="22" s="1"/>
  <c r="N44" i="22"/>
  <c r="O44" i="22" s="1"/>
  <c r="N43" i="22"/>
  <c r="O43" i="22" s="1"/>
  <c r="N42" i="22"/>
  <c r="O42" i="22" s="1"/>
  <c r="N41" i="22"/>
  <c r="O41" i="22" s="1"/>
  <c r="N40" i="22"/>
  <c r="O40" i="22" s="1"/>
  <c r="N39" i="22"/>
  <c r="O39" i="22" s="1"/>
  <c r="N38" i="22"/>
  <c r="O38" i="22" s="1"/>
  <c r="N37" i="22"/>
  <c r="O37" i="22" s="1"/>
  <c r="N36" i="22"/>
  <c r="O36" i="22" s="1"/>
  <c r="N35" i="22"/>
  <c r="O35" i="22" s="1"/>
  <c r="N34" i="22"/>
  <c r="O34" i="22" s="1"/>
  <c r="N33" i="22"/>
  <c r="O33" i="22" s="1"/>
  <c r="N32" i="22"/>
  <c r="O32" i="22" s="1"/>
  <c r="N31" i="22"/>
  <c r="O31" i="22" s="1"/>
  <c r="N30" i="22"/>
  <c r="O30" i="22" s="1"/>
  <c r="N29" i="22"/>
  <c r="O29" i="22" s="1"/>
  <c r="N28" i="22"/>
  <c r="O28" i="22" s="1"/>
  <c r="N27" i="22"/>
  <c r="O27" i="22" s="1"/>
  <c r="N26" i="22"/>
  <c r="O26" i="22" s="1"/>
  <c r="N25" i="22"/>
  <c r="O25" i="22" s="1"/>
  <c r="N24" i="22"/>
  <c r="O24" i="22" s="1"/>
  <c r="N23" i="22"/>
  <c r="O23" i="22" s="1"/>
  <c r="N22" i="22"/>
  <c r="O22" i="22" s="1"/>
  <c r="N21" i="22"/>
  <c r="O21" i="22" s="1"/>
  <c r="N20" i="22"/>
  <c r="O20" i="22" s="1"/>
  <c r="N19" i="22"/>
  <c r="O19" i="22" s="1"/>
  <c r="N18" i="22"/>
  <c r="O18" i="22" s="1"/>
  <c r="N17" i="22"/>
  <c r="O17" i="22" s="1"/>
  <c r="N16" i="22"/>
  <c r="O16" i="22" s="1"/>
  <c r="N15" i="22"/>
  <c r="O15" i="22" s="1"/>
  <c r="N14" i="22"/>
  <c r="O14" i="22" s="1"/>
  <c r="N13" i="22"/>
  <c r="O13" i="22" s="1"/>
  <c r="N12" i="22"/>
  <c r="O12" i="22" s="1"/>
  <c r="N11" i="22"/>
  <c r="O11" i="22" s="1"/>
  <c r="B42" i="1" l="1"/>
  <c r="N53" i="7" l="1"/>
  <c r="O52" i="7"/>
  <c r="N52" i="7"/>
  <c r="O51" i="7"/>
  <c r="N51" i="7"/>
  <c r="O53" i="7"/>
  <c r="O50" i="7"/>
  <c r="N50" i="7"/>
  <c r="G4" i="17"/>
  <c r="Y32" i="16"/>
  <c r="Y32" i="15"/>
  <c r="Y32" i="5"/>
  <c r="Y32" i="4"/>
  <c r="Y32" i="3"/>
  <c r="D35" i="17"/>
  <c r="D28" i="17"/>
  <c r="D21" i="17"/>
  <c r="D14" i="17"/>
  <c r="D39" i="7"/>
  <c r="D38" i="7"/>
  <c r="D37" i="7"/>
  <c r="D36" i="7"/>
  <c r="D35" i="7"/>
  <c r="D29" i="7"/>
  <c r="D28" i="7"/>
  <c r="D27" i="7"/>
  <c r="D26" i="7"/>
  <c r="D25" i="7"/>
  <c r="D19" i="7"/>
  <c r="D18" i="7"/>
  <c r="D17" i="7"/>
  <c r="D16" i="7"/>
  <c r="D15" i="7"/>
  <c r="G4" i="27" s="1"/>
  <c r="B39" i="7"/>
  <c r="B38" i="7"/>
  <c r="B37" i="7"/>
  <c r="B36" i="7"/>
  <c r="A39" i="7"/>
  <c r="A38" i="7"/>
  <c r="A37" i="7"/>
  <c r="A36" i="7"/>
  <c r="B29" i="7"/>
  <c r="B28" i="7"/>
  <c r="B27" i="7"/>
  <c r="B26" i="7"/>
  <c r="A29" i="7"/>
  <c r="A28" i="7"/>
  <c r="A27" i="7"/>
  <c r="A26" i="7"/>
  <c r="B19" i="7"/>
  <c r="B18" i="7"/>
  <c r="B17" i="7"/>
  <c r="A19" i="7"/>
  <c r="A18" i="7"/>
  <c r="A17" i="7"/>
  <c r="B16" i="7"/>
  <c r="A16" i="7"/>
  <c r="C5" i="17"/>
  <c r="B5" i="17"/>
  <c r="C6" i="17"/>
  <c r="B6" i="17"/>
  <c r="C4" i="17"/>
  <c r="B4" i="17"/>
  <c r="G8" i="7"/>
  <c r="I48" i="7" s="1"/>
  <c r="E34" i="17"/>
  <c r="C39" i="7"/>
  <c r="E26" i="17"/>
  <c r="C28" i="7"/>
  <c r="E20" i="17"/>
  <c r="C37" i="7"/>
  <c r="E18" i="17"/>
  <c r="C17" i="7"/>
  <c r="E12" i="17"/>
  <c r="C26" i="7"/>
  <c r="E33" i="17"/>
  <c r="C29" i="7"/>
  <c r="E27" i="17"/>
  <c r="C38" i="7"/>
  <c r="E25" i="17"/>
  <c r="C18" i="7"/>
  <c r="E19" i="17"/>
  <c r="C27" i="7"/>
  <c r="E13" i="17"/>
  <c r="C36" i="7"/>
  <c r="E11" i="17"/>
  <c r="C16" i="7"/>
  <c r="X30" i="3"/>
  <c r="Y30" i="3" s="1"/>
  <c r="B46" i="1"/>
  <c r="J14" i="5" s="1"/>
  <c r="B57" i="1"/>
  <c r="O34" i="7" s="1"/>
  <c r="B56" i="1"/>
  <c r="J46" i="15" s="1"/>
  <c r="B55" i="1"/>
  <c r="J44" i="16" s="1"/>
  <c r="B54" i="1"/>
  <c r="I34" i="7" s="1"/>
  <c r="B53" i="1"/>
  <c r="J42" i="16" s="1"/>
  <c r="B45" i="1"/>
  <c r="J11" i="5" s="1"/>
  <c r="B44" i="1"/>
  <c r="J10" i="3" s="1"/>
  <c r="B43" i="1"/>
  <c r="B41" i="1"/>
  <c r="J7" i="15" s="1"/>
  <c r="B40" i="1"/>
  <c r="H14" i="7" s="1"/>
  <c r="B39" i="1"/>
  <c r="J5" i="4" s="1"/>
  <c r="N28" i="30"/>
  <c r="O28" i="30" s="1"/>
  <c r="N27" i="30"/>
  <c r="O27" i="30" s="1"/>
  <c r="N26" i="30"/>
  <c r="O26" i="30" s="1"/>
  <c r="N25" i="30"/>
  <c r="O25" i="30" s="1"/>
  <c r="N24" i="30"/>
  <c r="O24" i="30" s="1"/>
  <c r="N23" i="30"/>
  <c r="O23" i="30" s="1"/>
  <c r="N22" i="30"/>
  <c r="O22" i="30" s="1"/>
  <c r="N21" i="30"/>
  <c r="O21" i="30" s="1"/>
  <c r="N20" i="30"/>
  <c r="O20" i="30" s="1"/>
  <c r="N19" i="30"/>
  <c r="O19" i="30" s="1"/>
  <c r="N18" i="30"/>
  <c r="O18" i="30" s="1"/>
  <c r="N17" i="30"/>
  <c r="O17" i="30" s="1"/>
  <c r="N16" i="30"/>
  <c r="O16" i="30" s="1"/>
  <c r="N15" i="30"/>
  <c r="O15" i="30" s="1"/>
  <c r="N14" i="30"/>
  <c r="O14" i="30" s="1"/>
  <c r="N13" i="30"/>
  <c r="O13" i="30" s="1"/>
  <c r="N12" i="30"/>
  <c r="O12" i="30" s="1"/>
  <c r="N11" i="30"/>
  <c r="O11" i="30" s="1"/>
  <c r="N10" i="30"/>
  <c r="O10" i="30" s="1"/>
  <c r="B4" i="30"/>
  <c r="O4" i="30"/>
  <c r="B7" i="18"/>
  <c r="D18" i="18"/>
  <c r="A19" i="18"/>
  <c r="A18" i="18"/>
  <c r="D17" i="18"/>
  <c r="D16" i="18"/>
  <c r="D15" i="18"/>
  <c r="F4" i="21"/>
  <c r="B4" i="21"/>
  <c r="K4" i="29"/>
  <c r="B4" i="29"/>
  <c r="AB4" i="19"/>
  <c r="B4" i="19"/>
  <c r="B17" i="18"/>
  <c r="A17" i="18"/>
  <c r="B16" i="18"/>
  <c r="A16" i="18"/>
  <c r="B30" i="18"/>
  <c r="B29" i="18"/>
  <c r="B24" i="18"/>
  <c r="B23" i="18"/>
  <c r="F4" i="18"/>
  <c r="B15" i="18"/>
  <c r="A15" i="18"/>
  <c r="B8" i="18"/>
  <c r="B6" i="18"/>
  <c r="B5" i="18"/>
  <c r="B4" i="18"/>
  <c r="B3" i="18"/>
  <c r="G14" i="27"/>
  <c r="G8" i="27"/>
  <c r="E14" i="27"/>
  <c r="B14" i="27"/>
  <c r="E8" i="27"/>
  <c r="E4" i="27"/>
  <c r="E6" i="27"/>
  <c r="G10" i="27"/>
  <c r="E10" i="27"/>
  <c r="E12" i="27"/>
  <c r="B12" i="27"/>
  <c r="B10" i="27"/>
  <c r="B8" i="27"/>
  <c r="B6" i="27"/>
  <c r="B5" i="27"/>
  <c r="B4" i="27"/>
  <c r="B3" i="27"/>
  <c r="B2" i="27"/>
  <c r="C67" i="27"/>
  <c r="C66" i="27"/>
  <c r="C65" i="27"/>
  <c r="C64" i="27"/>
  <c r="C63" i="27"/>
  <c r="C62" i="27"/>
  <c r="C61" i="27"/>
  <c r="C60" i="27"/>
  <c r="C52" i="27"/>
  <c r="C47" i="27"/>
  <c r="C46" i="27"/>
  <c r="C45" i="27"/>
  <c r="C44" i="27"/>
  <c r="C43" i="27"/>
  <c r="C42" i="27"/>
  <c r="C41" i="27"/>
  <c r="C32" i="27"/>
  <c r="C27" i="27"/>
  <c r="C26" i="27"/>
  <c r="C25" i="27"/>
  <c r="C24" i="27"/>
  <c r="C23" i="27"/>
  <c r="C22" i="27"/>
  <c r="C21" i="27"/>
  <c r="G24" i="26"/>
  <c r="F24" i="26"/>
  <c r="E24" i="26"/>
  <c r="X29" i="3"/>
  <c r="Y29" i="3" s="1"/>
  <c r="X28" i="3"/>
  <c r="Y28" i="3" s="1"/>
  <c r="X27" i="3"/>
  <c r="Y27" i="3" s="1"/>
  <c r="X26" i="3"/>
  <c r="Y26" i="3" s="1"/>
  <c r="X25" i="3"/>
  <c r="X24" i="3"/>
  <c r="Y24" i="3" s="1"/>
  <c r="X23" i="3"/>
  <c r="Y23" i="3" s="1"/>
  <c r="Z23" i="3"/>
  <c r="X19" i="3"/>
  <c r="Y19" i="3" s="1"/>
  <c r="P55" i="7"/>
  <c r="O55" i="7"/>
  <c r="N55" i="7"/>
  <c r="E25" i="7"/>
  <c r="B9" i="7"/>
  <c r="B8" i="7"/>
  <c r="B7" i="7"/>
  <c r="D51" i="5"/>
  <c r="E39" i="5" s="1"/>
  <c r="D40" i="5" s="1"/>
  <c r="D29" i="5"/>
  <c r="E21" i="5"/>
  <c r="D12" i="5"/>
  <c r="H5" i="5" s="1"/>
  <c r="D51" i="15"/>
  <c r="H41" i="15" s="1"/>
  <c r="D29" i="15"/>
  <c r="D12" i="15"/>
  <c r="D12" i="3"/>
  <c r="H5" i="3" s="1"/>
  <c r="D29" i="3"/>
  <c r="H22" i="3" s="1"/>
  <c r="H23" i="3" s="1"/>
  <c r="M12" i="3"/>
  <c r="M5" i="3"/>
  <c r="K9" i="3" s="1"/>
  <c r="M6" i="3"/>
  <c r="M7" i="3"/>
  <c r="M8" i="3"/>
  <c r="M9" i="3"/>
  <c r="M10" i="3"/>
  <c r="M11" i="3"/>
  <c r="X20" i="3"/>
  <c r="Y20" i="3" s="1"/>
  <c r="X21" i="3"/>
  <c r="Y21" i="3" s="1"/>
  <c r="B51" i="3"/>
  <c r="D51" i="3"/>
  <c r="H41" i="3" s="1"/>
  <c r="I41" i="3" s="1"/>
  <c r="M50" i="3"/>
  <c r="M42" i="3"/>
  <c r="M43" i="3"/>
  <c r="M44" i="3"/>
  <c r="M45" i="3"/>
  <c r="M46" i="3"/>
  <c r="M47" i="3"/>
  <c r="M48" i="3"/>
  <c r="M49" i="3"/>
  <c r="M41" i="3"/>
  <c r="N41" i="3" s="1"/>
  <c r="X22" i="3"/>
  <c r="Y22" i="3" s="1"/>
  <c r="X19" i="4"/>
  <c r="Y19" i="4" s="1"/>
  <c r="X19" i="5"/>
  <c r="Y19" i="5" s="1"/>
  <c r="X25" i="4"/>
  <c r="Y25" i="4" s="1"/>
  <c r="Y33" i="4" s="1"/>
  <c r="X25" i="5"/>
  <c r="Y25" i="5" s="1"/>
  <c r="Y33" i="5" s="1"/>
  <c r="B17" i="15"/>
  <c r="I14" i="15" s="1"/>
  <c r="U30" i="15" s="1"/>
  <c r="B34" i="15"/>
  <c r="I31" i="15" s="1"/>
  <c r="N28" i="7" s="1"/>
  <c r="B17" i="5"/>
  <c r="I14" i="5" s="1"/>
  <c r="B34" i="5"/>
  <c r="I31" i="5" s="1"/>
  <c r="D51" i="16"/>
  <c r="D51" i="4"/>
  <c r="H41" i="4" s="1"/>
  <c r="B34" i="4"/>
  <c r="I31" i="4" s="1"/>
  <c r="V30" i="4" s="1"/>
  <c r="B17" i="4"/>
  <c r="I14" i="4" s="1"/>
  <c r="B34" i="16"/>
  <c r="I31" i="16"/>
  <c r="N29" i="7" s="1"/>
  <c r="B17" i="16"/>
  <c r="I14" i="16" s="1"/>
  <c r="D29" i="16"/>
  <c r="D29" i="4"/>
  <c r="H22" i="4" s="1"/>
  <c r="H23" i="4" s="1"/>
  <c r="D12" i="4"/>
  <c r="H5" i="4" s="1"/>
  <c r="H6" i="4" s="1"/>
  <c r="D12" i="16"/>
  <c r="E4" i="16" s="1"/>
  <c r="D5" i="16" s="1"/>
  <c r="B34" i="3"/>
  <c r="I31" i="3" s="1"/>
  <c r="B17" i="3"/>
  <c r="I14" i="3" s="1"/>
  <c r="B2" i="3"/>
  <c r="X23" i="16"/>
  <c r="Y23" i="16" s="1"/>
  <c r="X22" i="15"/>
  <c r="Y22" i="15" s="1"/>
  <c r="X21" i="5"/>
  <c r="Y21" i="5" s="1"/>
  <c r="X20" i="4"/>
  <c r="Y20" i="4" s="1"/>
  <c r="Z19" i="3"/>
  <c r="Z19" i="4" s="1"/>
  <c r="AA19" i="4" s="1"/>
  <c r="X19" i="16"/>
  <c r="Y19" i="16" s="1"/>
  <c r="Z20" i="3"/>
  <c r="Z20" i="16" s="1"/>
  <c r="X20" i="16"/>
  <c r="Y20" i="16"/>
  <c r="Z21" i="3"/>
  <c r="Z21" i="5" s="1"/>
  <c r="X21" i="16"/>
  <c r="Y21" i="16" s="1"/>
  <c r="Z22" i="3"/>
  <c r="X22" i="16"/>
  <c r="Y22" i="16" s="1"/>
  <c r="Z23" i="16"/>
  <c r="AA23" i="16" s="1"/>
  <c r="Z24" i="3"/>
  <c r="Z24" i="16" s="1"/>
  <c r="X24" i="16"/>
  <c r="Y24" i="16" s="1"/>
  <c r="Z25" i="3"/>
  <c r="Z25" i="16" s="1"/>
  <c r="X25" i="16"/>
  <c r="Y25" i="16" s="1"/>
  <c r="Y33" i="16" s="1"/>
  <c r="Z26" i="3"/>
  <c r="X26" i="16"/>
  <c r="Y26" i="16" s="1"/>
  <c r="Z27" i="3"/>
  <c r="AB27" i="3" s="1"/>
  <c r="X27" i="16"/>
  <c r="Y27" i="16" s="1"/>
  <c r="Z28" i="3"/>
  <c r="Z28" i="4" s="1"/>
  <c r="AA28" i="3"/>
  <c r="X28" i="16"/>
  <c r="Y28" i="16" s="1"/>
  <c r="Z29" i="3"/>
  <c r="Z29" i="15" s="1"/>
  <c r="X29" i="16"/>
  <c r="Y29" i="16" s="1"/>
  <c r="X30" i="16"/>
  <c r="Y30" i="16" s="1"/>
  <c r="X19" i="15"/>
  <c r="Y19" i="15" s="1"/>
  <c r="X20" i="15"/>
  <c r="Y20" i="15" s="1"/>
  <c r="X21" i="15"/>
  <c r="Y21" i="15" s="1"/>
  <c r="Z23" i="15"/>
  <c r="AB23" i="15"/>
  <c r="X23" i="15"/>
  <c r="Y23" i="15" s="1"/>
  <c r="X24" i="15"/>
  <c r="Y24" i="15" s="1"/>
  <c r="X25" i="15"/>
  <c r="Y25" i="15" s="1"/>
  <c r="Y33" i="15" s="1"/>
  <c r="X26" i="15"/>
  <c r="Y26" i="15"/>
  <c r="X27" i="15"/>
  <c r="Y27" i="15" s="1"/>
  <c r="X28" i="15"/>
  <c r="Y28" i="15"/>
  <c r="X29" i="15"/>
  <c r="Y29" i="15" s="1"/>
  <c r="X30" i="15"/>
  <c r="Y30" i="15" s="1"/>
  <c r="X20" i="5"/>
  <c r="Y20" i="5" s="1"/>
  <c r="X22" i="5"/>
  <c r="Y22" i="5" s="1"/>
  <c r="X23" i="5"/>
  <c r="Y23" i="5" s="1"/>
  <c r="X24" i="5"/>
  <c r="Y24" i="5" s="1"/>
  <c r="X26" i="5"/>
  <c r="Y26" i="5" s="1"/>
  <c r="X27" i="5"/>
  <c r="Y27" i="5" s="1"/>
  <c r="X28" i="5"/>
  <c r="Y28" i="5" s="1"/>
  <c r="X29" i="5"/>
  <c r="Y29" i="5" s="1"/>
  <c r="X30" i="5"/>
  <c r="X21" i="4"/>
  <c r="Y21" i="4" s="1"/>
  <c r="X22" i="4"/>
  <c r="Y22" i="4" s="1"/>
  <c r="X23" i="4"/>
  <c r="Y23" i="4" s="1"/>
  <c r="X24" i="4"/>
  <c r="Y24" i="4" s="1"/>
  <c r="X26" i="4"/>
  <c r="Y26" i="4" s="1"/>
  <c r="X27" i="4"/>
  <c r="Y27" i="4" s="1"/>
  <c r="X28" i="4"/>
  <c r="Y28" i="4" s="1"/>
  <c r="X29" i="4"/>
  <c r="Y29" i="4" s="1"/>
  <c r="X30" i="4"/>
  <c r="Y30" i="4" s="1"/>
  <c r="AA24" i="3"/>
  <c r="AE24" i="3" s="1"/>
  <c r="AB24" i="3"/>
  <c r="AB25" i="3"/>
  <c r="Z30" i="3"/>
  <c r="Z30" i="16" s="1"/>
  <c r="AB30" i="16" s="1"/>
  <c r="Y7" i="16"/>
  <c r="Y6" i="16"/>
  <c r="Y7" i="15"/>
  <c r="Y6" i="15"/>
  <c r="Y5" i="15"/>
  <c r="Z6" i="15" s="1"/>
  <c r="Y7" i="5"/>
  <c r="Y6" i="5"/>
  <c r="Y5" i="5"/>
  <c r="Y7" i="4"/>
  <c r="Y6" i="4"/>
  <c r="Y5" i="4"/>
  <c r="M50" i="5"/>
  <c r="M42" i="5"/>
  <c r="M43" i="5"/>
  <c r="M44" i="5"/>
  <c r="M45" i="5"/>
  <c r="M46" i="5"/>
  <c r="M47" i="5"/>
  <c r="M48" i="5"/>
  <c r="M49" i="5"/>
  <c r="M41" i="5"/>
  <c r="N41" i="5" s="1"/>
  <c r="M23" i="5"/>
  <c r="M22" i="5"/>
  <c r="M24" i="5"/>
  <c r="M25" i="5"/>
  <c r="M26" i="5"/>
  <c r="M27" i="5"/>
  <c r="M28" i="5"/>
  <c r="M29" i="5"/>
  <c r="M12" i="5"/>
  <c r="M5" i="5"/>
  <c r="K5" i="5" s="1"/>
  <c r="M6" i="5"/>
  <c r="M7" i="5"/>
  <c r="M8" i="5"/>
  <c r="M9" i="5"/>
  <c r="M10" i="5"/>
  <c r="M11" i="5"/>
  <c r="M50" i="4"/>
  <c r="M52" i="4" s="1"/>
  <c r="M42" i="4"/>
  <c r="M43" i="4"/>
  <c r="M44" i="4"/>
  <c r="M45" i="4"/>
  <c r="M46" i="4"/>
  <c r="M47" i="4"/>
  <c r="M48" i="4"/>
  <c r="M49" i="4"/>
  <c r="M41" i="4"/>
  <c r="N41" i="4" s="1"/>
  <c r="M23" i="4"/>
  <c r="M22" i="4"/>
  <c r="M24" i="4"/>
  <c r="M25" i="4"/>
  <c r="M26" i="4"/>
  <c r="M27" i="4"/>
  <c r="M31" i="4" s="1"/>
  <c r="M28" i="4"/>
  <c r="M29" i="4"/>
  <c r="M12" i="4"/>
  <c r="M5" i="4"/>
  <c r="M6" i="4"/>
  <c r="M7" i="4"/>
  <c r="M8" i="4"/>
  <c r="M9" i="4"/>
  <c r="M10" i="4"/>
  <c r="K8" i="4" s="1"/>
  <c r="M11" i="4"/>
  <c r="M23" i="3"/>
  <c r="K23" i="3" s="1"/>
  <c r="M22" i="3"/>
  <c r="M24" i="3"/>
  <c r="M25" i="3"/>
  <c r="M26" i="3"/>
  <c r="M27" i="3"/>
  <c r="M28" i="3"/>
  <c r="M29" i="3"/>
  <c r="P39" i="7"/>
  <c r="P38" i="7"/>
  <c r="E39" i="7"/>
  <c r="E38" i="7"/>
  <c r="E29" i="7"/>
  <c r="E28" i="7"/>
  <c r="E19" i="7"/>
  <c r="E18" i="7"/>
  <c r="O19" i="7"/>
  <c r="O18" i="7"/>
  <c r="B2" i="16"/>
  <c r="M12" i="16"/>
  <c r="M5" i="16"/>
  <c r="K6" i="16" s="1"/>
  <c r="M6" i="16"/>
  <c r="M7" i="16"/>
  <c r="K5" i="16" s="1"/>
  <c r="M8" i="16"/>
  <c r="M9" i="16"/>
  <c r="M10" i="16"/>
  <c r="M11" i="16"/>
  <c r="J7" i="16"/>
  <c r="J9" i="16"/>
  <c r="B16" i="16"/>
  <c r="M22" i="16"/>
  <c r="M23" i="16"/>
  <c r="M24" i="16"/>
  <c r="M25" i="16"/>
  <c r="M26" i="16"/>
  <c r="M27" i="16"/>
  <c r="M28" i="16"/>
  <c r="M29" i="16"/>
  <c r="B33" i="16"/>
  <c r="M50" i="16"/>
  <c r="M42" i="16"/>
  <c r="M43" i="16"/>
  <c r="M44" i="16"/>
  <c r="M45" i="16"/>
  <c r="M46" i="16"/>
  <c r="M47" i="16"/>
  <c r="M48" i="16"/>
  <c r="M49" i="16"/>
  <c r="M41" i="16"/>
  <c r="N41" i="16" s="1"/>
  <c r="B51" i="16"/>
  <c r="B2" i="15"/>
  <c r="M12" i="15"/>
  <c r="M5" i="15"/>
  <c r="M6" i="15"/>
  <c r="M7" i="15"/>
  <c r="M8" i="15"/>
  <c r="M9" i="15"/>
  <c r="M10" i="15"/>
  <c r="M11" i="15"/>
  <c r="B16" i="15"/>
  <c r="M22" i="15"/>
  <c r="M23" i="15"/>
  <c r="M24" i="15"/>
  <c r="M25" i="15"/>
  <c r="M26" i="15"/>
  <c r="M27" i="15"/>
  <c r="M28" i="15"/>
  <c r="M29" i="15"/>
  <c r="B33" i="15"/>
  <c r="M50" i="15"/>
  <c r="M42" i="15"/>
  <c r="M43" i="15"/>
  <c r="M44" i="15"/>
  <c r="M45" i="15"/>
  <c r="M46" i="15"/>
  <c r="M47" i="15"/>
  <c r="M48" i="15"/>
  <c r="M49" i="15"/>
  <c r="M41" i="15"/>
  <c r="N41" i="15" s="1"/>
  <c r="J44" i="15"/>
  <c r="B51" i="15"/>
  <c r="B2" i="5"/>
  <c r="B2" i="4"/>
  <c r="B16" i="3"/>
  <c r="AA11" i="7"/>
  <c r="AA12" i="7"/>
  <c r="B33" i="3"/>
  <c r="J44" i="3"/>
  <c r="B51" i="4"/>
  <c r="B33" i="4"/>
  <c r="B16" i="4"/>
  <c r="J7" i="4"/>
  <c r="J6" i="4"/>
  <c r="J44" i="4"/>
  <c r="B51" i="5"/>
  <c r="B33" i="5"/>
  <c r="B16" i="5"/>
  <c r="J44" i="5"/>
  <c r="J43" i="5"/>
  <c r="A35" i="7"/>
  <c r="A25" i="7"/>
  <c r="A15" i="7"/>
  <c r="B35" i="7"/>
  <c r="B25" i="7"/>
  <c r="B15" i="7"/>
  <c r="L9" i="7"/>
  <c r="F13" i="7"/>
  <c r="F33" i="7"/>
  <c r="I14" i="7"/>
  <c r="E15" i="7"/>
  <c r="O15" i="7"/>
  <c r="E16" i="7"/>
  <c r="O16" i="7"/>
  <c r="E17" i="7"/>
  <c r="O17" i="7"/>
  <c r="E26" i="7"/>
  <c r="E27" i="7"/>
  <c r="J34" i="7"/>
  <c r="E35" i="7"/>
  <c r="P35" i="7"/>
  <c r="E36" i="7"/>
  <c r="P36" i="7"/>
  <c r="E37" i="7"/>
  <c r="P37" i="7"/>
  <c r="B6" i="7"/>
  <c r="G6" i="7"/>
  <c r="L6" i="7"/>
  <c r="O6" i="7"/>
  <c r="Q6" i="7"/>
  <c r="G10" i="7"/>
  <c r="G7" i="7"/>
  <c r="L7" i="7"/>
  <c r="O7" i="7"/>
  <c r="Q7" i="7"/>
  <c r="B10" i="7"/>
  <c r="L8" i="7"/>
  <c r="Q8" i="7"/>
  <c r="Q9" i="7"/>
  <c r="K61" i="7"/>
  <c r="P61" i="7"/>
  <c r="Y6" i="3"/>
  <c r="Z28" i="16"/>
  <c r="AB28" i="16" s="1"/>
  <c r="AA19" i="3"/>
  <c r="Z20" i="15"/>
  <c r="E6" i="17"/>
  <c r="C35" i="7"/>
  <c r="Y7" i="3"/>
  <c r="AB26" i="3"/>
  <c r="H41" i="5"/>
  <c r="I41" i="5" s="1"/>
  <c r="W22" i="5" s="1"/>
  <c r="E5" i="17"/>
  <c r="C25" i="7"/>
  <c r="E32" i="17"/>
  <c r="C19" i="7"/>
  <c r="Y5" i="16"/>
  <c r="Z7" i="16" s="1"/>
  <c r="Y5" i="3"/>
  <c r="E4" i="17"/>
  <c r="C15" i="7"/>
  <c r="D7" i="17"/>
  <c r="Y25" i="3"/>
  <c r="Y33" i="3" s="1"/>
  <c r="Z28" i="15"/>
  <c r="AB23" i="16"/>
  <c r="AB28" i="3"/>
  <c r="O48" i="7"/>
  <c r="Z24" i="15"/>
  <c r="AA23" i="15"/>
  <c r="Z28" i="5"/>
  <c r="Z7" i="4"/>
  <c r="J8" i="15"/>
  <c r="H22" i="5"/>
  <c r="I22" i="5" s="1"/>
  <c r="D22" i="5"/>
  <c r="J9" i="3"/>
  <c r="J9" i="4"/>
  <c r="J9" i="5"/>
  <c r="J5" i="3"/>
  <c r="J43" i="16"/>
  <c r="Z26" i="16"/>
  <c r="AB26" i="16" s="1"/>
  <c r="Z26" i="15"/>
  <c r="AB26" i="15" s="1"/>
  <c r="Z6" i="5"/>
  <c r="Z26" i="4"/>
  <c r="Z19" i="16"/>
  <c r="AB19" i="16" s="1"/>
  <c r="V30" i="16"/>
  <c r="E4" i="15"/>
  <c r="D5" i="15" s="1"/>
  <c r="H5" i="15"/>
  <c r="I5" i="15" s="1"/>
  <c r="G18" i="7" s="1"/>
  <c r="H41" i="16"/>
  <c r="H42" i="16" s="1"/>
  <c r="I42" i="16" s="1"/>
  <c r="E39" i="16"/>
  <c r="D40" i="16" s="1"/>
  <c r="K44" i="3"/>
  <c r="AA25" i="3"/>
  <c r="AC25" i="3" s="1"/>
  <c r="AD25" i="3" s="1"/>
  <c r="Z25" i="5"/>
  <c r="Z23" i="5"/>
  <c r="AA23" i="5" s="1"/>
  <c r="Z23" i="4"/>
  <c r="AA23" i="4" s="1"/>
  <c r="AA23" i="3"/>
  <c r="AB23" i="3"/>
  <c r="E39" i="15"/>
  <c r="D40" i="15" s="1"/>
  <c r="I41" i="16"/>
  <c r="W22" i="16" s="1"/>
  <c r="H6" i="15"/>
  <c r="U19" i="15"/>
  <c r="AB20" i="15"/>
  <c r="AA20" i="15"/>
  <c r="H42" i="3"/>
  <c r="I42" i="3" s="1"/>
  <c r="W22" i="3"/>
  <c r="Y30" i="5"/>
  <c r="AB29" i="3"/>
  <c r="AC24" i="3"/>
  <c r="AD24" i="3" s="1"/>
  <c r="K5" i="15"/>
  <c r="AA20" i="16"/>
  <c r="AB20" i="16"/>
  <c r="Z6" i="16"/>
  <c r="AB19" i="4"/>
  <c r="Z22" i="5"/>
  <c r="AA22" i="5" s="1"/>
  <c r="AA22" i="3"/>
  <c r="Z22" i="4"/>
  <c r="Z22" i="15"/>
  <c r="AA22" i="15" s="1"/>
  <c r="AB22" i="3"/>
  <c r="Z22" i="16"/>
  <c r="V30" i="5"/>
  <c r="N27" i="7"/>
  <c r="AA20" i="3"/>
  <c r="Z20" i="5"/>
  <c r="AB20" i="5" s="1"/>
  <c r="Z20" i="4"/>
  <c r="AB20" i="4" s="1"/>
  <c r="E21" i="15"/>
  <c r="D22" i="15" s="1"/>
  <c r="H22" i="15"/>
  <c r="H23" i="15" s="1"/>
  <c r="H24" i="15" s="1"/>
  <c r="J8" i="3"/>
  <c r="J8" i="4"/>
  <c r="J14" i="7"/>
  <c r="J8" i="5"/>
  <c r="J8" i="16"/>
  <c r="AA27" i="3"/>
  <c r="AE27" i="3" s="1"/>
  <c r="E21" i="16"/>
  <c r="D22" i="16" s="1"/>
  <c r="H22" i="16"/>
  <c r="H23" i="16" s="1"/>
  <c r="AA26" i="3"/>
  <c r="Z26" i="5"/>
  <c r="AA26" i="5" s="1"/>
  <c r="N18" i="7"/>
  <c r="I22" i="3"/>
  <c r="C10" i="26" s="1"/>
  <c r="B41" i="27" s="1"/>
  <c r="J9" i="15"/>
  <c r="K14" i="7"/>
  <c r="AE28" i="3"/>
  <c r="J10" i="5"/>
  <c r="Z5" i="4"/>
  <c r="AE23" i="16"/>
  <c r="AA20" i="4"/>
  <c r="AA20" i="5"/>
  <c r="AB22" i="5"/>
  <c r="AC22" i="5" s="1"/>
  <c r="AD22" i="5" s="1"/>
  <c r="H43" i="3"/>
  <c r="D14" i="26"/>
  <c r="B60" i="27" s="1"/>
  <c r="D60" i="27" s="1"/>
  <c r="W23" i="3"/>
  <c r="H35" i="7"/>
  <c r="G35" i="7"/>
  <c r="I23" i="16" l="1"/>
  <c r="H24" i="16"/>
  <c r="I24" i="16" s="1"/>
  <c r="AA29" i="15"/>
  <c r="AB29" i="15"/>
  <c r="V19" i="5"/>
  <c r="G27" i="7"/>
  <c r="Z30" i="4"/>
  <c r="AB30" i="4" s="1"/>
  <c r="AE30" i="4" s="1"/>
  <c r="K22" i="5"/>
  <c r="L22" i="5" s="1"/>
  <c r="N24" i="5" s="1"/>
  <c r="O24" i="5" s="1"/>
  <c r="P24" i="5" s="1"/>
  <c r="Q24" i="5" s="1"/>
  <c r="R24" i="5" s="1"/>
  <c r="AE25" i="3"/>
  <c r="K47" i="3"/>
  <c r="AA29" i="3"/>
  <c r="AE29" i="3" s="1"/>
  <c r="M14" i="4"/>
  <c r="K25" i="3"/>
  <c r="K45" i="4"/>
  <c r="Z29" i="4"/>
  <c r="Z30" i="15"/>
  <c r="AB30" i="15" s="1"/>
  <c r="AC30" i="15" s="1"/>
  <c r="AD30" i="15" s="1"/>
  <c r="H23" i="5"/>
  <c r="Z29" i="5"/>
  <c r="H43" i="16"/>
  <c r="Z21" i="15"/>
  <c r="I22" i="16"/>
  <c r="G29" i="7" s="1"/>
  <c r="K26" i="4"/>
  <c r="K22" i="4"/>
  <c r="Z30" i="5"/>
  <c r="AB30" i="5" s="1"/>
  <c r="AE30" i="5" s="1"/>
  <c r="AB21" i="3"/>
  <c r="Z25" i="4"/>
  <c r="AA25" i="4" s="1"/>
  <c r="AA28" i="16"/>
  <c r="AA21" i="3"/>
  <c r="AB30" i="3"/>
  <c r="M14" i="15"/>
  <c r="K7" i="5"/>
  <c r="H5" i="16"/>
  <c r="I5" i="16" s="1"/>
  <c r="U19" i="16" s="1"/>
  <c r="I5" i="4"/>
  <c r="Z29" i="16"/>
  <c r="K9" i="4"/>
  <c r="AA26" i="15"/>
  <c r="AC23" i="15"/>
  <c r="AD23" i="15" s="1"/>
  <c r="K43" i="5"/>
  <c r="E4" i="3"/>
  <c r="D5" i="3" s="1"/>
  <c r="AC21" i="3"/>
  <c r="AD21" i="3" s="1"/>
  <c r="M14" i="3"/>
  <c r="A48" i="7"/>
  <c r="J43" i="15"/>
  <c r="I45" i="7"/>
  <c r="B48" i="7"/>
  <c r="I47" i="7"/>
  <c r="J7" i="3"/>
  <c r="J49" i="4"/>
  <c r="M14" i="7"/>
  <c r="H44" i="7"/>
  <c r="J42" i="15"/>
  <c r="J11" i="15"/>
  <c r="H47" i="7"/>
  <c r="J42" i="5"/>
  <c r="J10" i="15"/>
  <c r="J10" i="16"/>
  <c r="L14" i="7"/>
  <c r="J10" i="4"/>
  <c r="H45" i="7"/>
  <c r="A46" i="7"/>
  <c r="J49" i="3"/>
  <c r="B46" i="7"/>
  <c r="L34" i="7"/>
  <c r="J43" i="4"/>
  <c r="J46" i="16"/>
  <c r="J49" i="15"/>
  <c r="J46" i="5"/>
  <c r="J46" i="3"/>
  <c r="J11" i="4"/>
  <c r="C44" i="7"/>
  <c r="J49" i="5"/>
  <c r="J6" i="15"/>
  <c r="M49" i="7"/>
  <c r="G47" i="7"/>
  <c r="J49" i="16"/>
  <c r="J11" i="16"/>
  <c r="J43" i="3"/>
  <c r="B49" i="7"/>
  <c r="J7" i="5"/>
  <c r="J46" i="4"/>
  <c r="H24" i="4"/>
  <c r="I23" i="4"/>
  <c r="H26" i="7" s="1"/>
  <c r="E41" i="27"/>
  <c r="D41" i="27"/>
  <c r="F41" i="27" s="1"/>
  <c r="K23" i="5"/>
  <c r="J49" i="7"/>
  <c r="K48" i="7"/>
  <c r="K22" i="3"/>
  <c r="V19" i="16"/>
  <c r="AC27" i="3"/>
  <c r="AD27" i="3" s="1"/>
  <c r="Z5" i="15"/>
  <c r="M52" i="3"/>
  <c r="B47" i="7"/>
  <c r="N45" i="7"/>
  <c r="O54" i="7" s="1"/>
  <c r="F47" i="7"/>
  <c r="F45" i="7"/>
  <c r="Z27" i="4"/>
  <c r="K47" i="5"/>
  <c r="K8" i="16"/>
  <c r="K6" i="5"/>
  <c r="K44" i="4"/>
  <c r="K23" i="4"/>
  <c r="AB23" i="4"/>
  <c r="AC23" i="4" s="1"/>
  <c r="AD23" i="4" s="1"/>
  <c r="H34" i="7"/>
  <c r="M45" i="7"/>
  <c r="K7" i="16"/>
  <c r="J5" i="5"/>
  <c r="E46" i="7"/>
  <c r="K46" i="7"/>
  <c r="F46" i="7"/>
  <c r="J46" i="7"/>
  <c r="C49" i="7"/>
  <c r="J14" i="3"/>
  <c r="E21" i="4"/>
  <c r="D22" i="4" s="1"/>
  <c r="A45" i="7"/>
  <c r="B44" i="7"/>
  <c r="A44" i="7"/>
  <c r="Z19" i="15"/>
  <c r="AB19" i="15" s="1"/>
  <c r="G45" i="7"/>
  <c r="Z5" i="5"/>
  <c r="K46" i="4"/>
  <c r="M48" i="7"/>
  <c r="F49" i="7"/>
  <c r="K49" i="7"/>
  <c r="C45" i="7"/>
  <c r="L44" i="7"/>
  <c r="K7" i="4"/>
  <c r="K26" i="3"/>
  <c r="K46" i="5"/>
  <c r="K7" i="15"/>
  <c r="K9" i="5"/>
  <c r="K47" i="4"/>
  <c r="AC29" i="3"/>
  <c r="AD29" i="3" s="1"/>
  <c r="K24" i="4"/>
  <c r="AA19" i="16"/>
  <c r="AC19" i="16" s="1"/>
  <c r="AD19" i="16" s="1"/>
  <c r="J42" i="4"/>
  <c r="K44" i="5"/>
  <c r="Z19" i="5"/>
  <c r="J5" i="15"/>
  <c r="H48" i="7"/>
  <c r="D45" i="7"/>
  <c r="K47" i="7"/>
  <c r="C46" i="7"/>
  <c r="C47" i="7"/>
  <c r="AE23" i="15"/>
  <c r="L45" i="7"/>
  <c r="G44" i="7"/>
  <c r="G48" i="7"/>
  <c r="N26" i="7"/>
  <c r="K24" i="5"/>
  <c r="O45" i="7"/>
  <c r="A49" i="7"/>
  <c r="O47" i="7"/>
  <c r="N49" i="7"/>
  <c r="K5" i="4"/>
  <c r="L5" i="4" s="1"/>
  <c r="N6" i="4" s="1"/>
  <c r="O6" i="4" s="1"/>
  <c r="Z27" i="16"/>
  <c r="AA27" i="16" s="1"/>
  <c r="K24" i="3"/>
  <c r="K5" i="3"/>
  <c r="K6" i="4"/>
  <c r="Z5" i="16"/>
  <c r="K6" i="3"/>
  <c r="K6" i="15"/>
  <c r="K8" i="5"/>
  <c r="M31" i="3"/>
  <c r="K25" i="4"/>
  <c r="AC23" i="3"/>
  <c r="AD23" i="3" s="1"/>
  <c r="K43" i="3"/>
  <c r="K8" i="3"/>
  <c r="K45" i="7"/>
  <c r="D47" i="7"/>
  <c r="E47" i="7"/>
  <c r="I49" i="7"/>
  <c r="E48" i="7"/>
  <c r="K45" i="5"/>
  <c r="N48" i="7"/>
  <c r="D44" i="7"/>
  <c r="O49" i="7"/>
  <c r="AB19" i="3"/>
  <c r="AC19" i="3" s="1"/>
  <c r="AD19" i="3" s="1"/>
  <c r="G46" i="7"/>
  <c r="D46" i="7"/>
  <c r="AC28" i="16"/>
  <c r="AD28" i="16" s="1"/>
  <c r="L47" i="7"/>
  <c r="M46" i="7"/>
  <c r="I46" i="7"/>
  <c r="Z27" i="15"/>
  <c r="AB27" i="15" s="1"/>
  <c r="K43" i="4"/>
  <c r="L43" i="4" s="1"/>
  <c r="K46" i="3"/>
  <c r="K45" i="3"/>
  <c r="G14" i="7"/>
  <c r="J47" i="7"/>
  <c r="L49" i="7"/>
  <c r="C48" i="7"/>
  <c r="A47" i="7"/>
  <c r="N14" i="7"/>
  <c r="K25" i="5"/>
  <c r="E45" i="7"/>
  <c r="J44" i="7"/>
  <c r="I44" i="7"/>
  <c r="G49" i="7"/>
  <c r="N47" i="7"/>
  <c r="Z7" i="15"/>
  <c r="M47" i="7"/>
  <c r="AB22" i="15"/>
  <c r="AC22" i="15" s="1"/>
  <c r="AD22" i="15" s="1"/>
  <c r="K44" i="7"/>
  <c r="N46" i="7"/>
  <c r="K7" i="3"/>
  <c r="K26" i="5"/>
  <c r="L48" i="7"/>
  <c r="O46" i="7"/>
  <c r="H49" i="7"/>
  <c r="D49" i="7"/>
  <c r="Z27" i="5"/>
  <c r="AE22" i="5"/>
  <c r="V30" i="15"/>
  <c r="M14" i="16"/>
  <c r="L5" i="16" s="1"/>
  <c r="N6" i="16" s="1"/>
  <c r="M14" i="5"/>
  <c r="L5" i="5" s="1"/>
  <c r="N6" i="5" s="1"/>
  <c r="O6" i="5" s="1"/>
  <c r="P6" i="5" s="1"/>
  <c r="M31" i="5"/>
  <c r="J42" i="3"/>
  <c r="J5" i="16"/>
  <c r="J45" i="7"/>
  <c r="E49" i="7"/>
  <c r="H46" i="7"/>
  <c r="D48" i="7"/>
  <c r="J48" i="7"/>
  <c r="J14" i="4"/>
  <c r="B45" i="7"/>
  <c r="F44" i="7"/>
  <c r="E44" i="7"/>
  <c r="AC28" i="3"/>
  <c r="AD28" i="3" s="1"/>
  <c r="L46" i="7"/>
  <c r="K9" i="16"/>
  <c r="F48" i="7"/>
  <c r="I29" i="7"/>
  <c r="V21" i="16"/>
  <c r="H29" i="7"/>
  <c r="V20" i="16"/>
  <c r="K44" i="16"/>
  <c r="K46" i="16"/>
  <c r="M52" i="16"/>
  <c r="K47" i="16"/>
  <c r="K45" i="16"/>
  <c r="K25" i="16"/>
  <c r="M31" i="16"/>
  <c r="V19" i="3"/>
  <c r="G25" i="7"/>
  <c r="K24" i="16"/>
  <c r="C21" i="26"/>
  <c r="B52" i="27" s="1"/>
  <c r="V30" i="3"/>
  <c r="N25" i="7"/>
  <c r="AC20" i="4"/>
  <c r="AD20" i="4" s="1"/>
  <c r="AE20" i="4"/>
  <c r="I23" i="15"/>
  <c r="AE20" i="5"/>
  <c r="AA26" i="4"/>
  <c r="AB26" i="4"/>
  <c r="AA21" i="5"/>
  <c r="AB21" i="5"/>
  <c r="AB27" i="16"/>
  <c r="AC27" i="16" s="1"/>
  <c r="AD27" i="16" s="1"/>
  <c r="H7" i="4"/>
  <c r="I6" i="4"/>
  <c r="H25" i="16"/>
  <c r="I22" i="15"/>
  <c r="AB22" i="4"/>
  <c r="AA22" i="4"/>
  <c r="N5" i="5"/>
  <c r="O5" i="5" s="1"/>
  <c r="P5" i="5" s="1"/>
  <c r="Q5" i="5" s="1"/>
  <c r="R5" i="5" s="1"/>
  <c r="N9" i="5"/>
  <c r="O9" i="5" s="1"/>
  <c r="P9" i="5" s="1"/>
  <c r="Q9" i="5" s="1"/>
  <c r="R9" i="5" s="1"/>
  <c r="AE30" i="16"/>
  <c r="AC30" i="16"/>
  <c r="AD30" i="16" s="1"/>
  <c r="AA24" i="16"/>
  <c r="AB24" i="16"/>
  <c r="AC24" i="16" s="1"/>
  <c r="AD24" i="16" s="1"/>
  <c r="I23" i="3"/>
  <c r="H24" i="3"/>
  <c r="AA22" i="16"/>
  <c r="AB22" i="16"/>
  <c r="AE22" i="16" s="1"/>
  <c r="K43" i="16"/>
  <c r="AE22" i="15"/>
  <c r="V20" i="4"/>
  <c r="AA28" i="15"/>
  <c r="AB28" i="15"/>
  <c r="I41" i="4"/>
  <c r="W22" i="4" s="1"/>
  <c r="H42" i="4"/>
  <c r="E60" i="27"/>
  <c r="F60" i="27" s="1"/>
  <c r="N10" i="5"/>
  <c r="O10" i="5" s="1"/>
  <c r="P10" i="5" s="1"/>
  <c r="O6" i="16"/>
  <c r="P6" i="16" s="1"/>
  <c r="Q6" i="16" s="1"/>
  <c r="AA27" i="15"/>
  <c r="AE23" i="3"/>
  <c r="U30" i="16"/>
  <c r="N19" i="7"/>
  <c r="AA26" i="16"/>
  <c r="AE21" i="3"/>
  <c r="L22" i="4"/>
  <c r="N22" i="4" s="1"/>
  <c r="M31" i="15"/>
  <c r="M52" i="5"/>
  <c r="L43" i="5" s="1"/>
  <c r="N47" i="5" s="1"/>
  <c r="O47" i="5" s="1"/>
  <c r="Z7" i="5"/>
  <c r="Z24" i="5"/>
  <c r="Z21" i="16"/>
  <c r="AA19" i="15"/>
  <c r="Z21" i="4"/>
  <c r="AB20" i="3"/>
  <c r="AE20" i="3" s="1"/>
  <c r="J11" i="3"/>
  <c r="J14" i="15"/>
  <c r="Z24" i="4"/>
  <c r="E39" i="3"/>
  <c r="D40" i="3" s="1"/>
  <c r="AE22" i="3"/>
  <c r="AE29" i="15"/>
  <c r="AC22" i="3"/>
  <c r="AD22" i="3" s="1"/>
  <c r="E4" i="4"/>
  <c r="D5" i="4" s="1"/>
  <c r="AB23" i="5"/>
  <c r="AC23" i="5" s="1"/>
  <c r="AD23" i="5" s="1"/>
  <c r="AB25" i="4"/>
  <c r="AC25" i="4" s="1"/>
  <c r="AD25" i="4" s="1"/>
  <c r="AC23" i="16"/>
  <c r="AD23" i="16" s="1"/>
  <c r="J14" i="16"/>
  <c r="AC30" i="4"/>
  <c r="AD30" i="4" s="1"/>
  <c r="Z6" i="4"/>
  <c r="E39" i="4"/>
  <c r="D40" i="4" s="1"/>
  <c r="AE28" i="16"/>
  <c r="AA28" i="4"/>
  <c r="AB28" i="4"/>
  <c r="AC20" i="5"/>
  <c r="AD20" i="5" s="1"/>
  <c r="K46" i="15"/>
  <c r="K47" i="15"/>
  <c r="K45" i="15"/>
  <c r="K44" i="15"/>
  <c r="M52" i="15"/>
  <c r="K43" i="15"/>
  <c r="K22" i="15"/>
  <c r="K24" i="15"/>
  <c r="K26" i="15"/>
  <c r="K25" i="15"/>
  <c r="AE20" i="16"/>
  <c r="AC20" i="16"/>
  <c r="AD20" i="16" s="1"/>
  <c r="AC20" i="15"/>
  <c r="AD20" i="15" s="1"/>
  <c r="AE20" i="15"/>
  <c r="H39" i="7"/>
  <c r="G39" i="7" s="1"/>
  <c r="W23" i="16"/>
  <c r="Z5" i="3"/>
  <c r="Z6" i="3"/>
  <c r="H6" i="5"/>
  <c r="I5" i="5"/>
  <c r="H44" i="3"/>
  <c r="I43" i="3"/>
  <c r="H25" i="15"/>
  <c r="I24" i="15"/>
  <c r="N9" i="16"/>
  <c r="O9" i="16" s="1"/>
  <c r="P9" i="16" s="1"/>
  <c r="Q9" i="16" s="1"/>
  <c r="N11" i="16"/>
  <c r="O11" i="16" s="1"/>
  <c r="P11" i="16" s="1"/>
  <c r="Q11" i="16" s="1"/>
  <c r="N12" i="16"/>
  <c r="N7" i="16"/>
  <c r="O7" i="16" s="1"/>
  <c r="P7" i="16" s="1"/>
  <c r="Q7" i="16" s="1"/>
  <c r="N10" i="16"/>
  <c r="O10" i="16" s="1"/>
  <c r="P10" i="16" s="1"/>
  <c r="Q10" i="16" s="1"/>
  <c r="R10" i="16" s="1"/>
  <c r="AE27" i="16"/>
  <c r="AC26" i="3"/>
  <c r="AD26" i="3" s="1"/>
  <c r="AE26" i="3"/>
  <c r="AC22" i="4"/>
  <c r="AD22" i="4" s="1"/>
  <c r="N23" i="4"/>
  <c r="N29" i="4"/>
  <c r="N26" i="4"/>
  <c r="O26" i="4" s="1"/>
  <c r="P26" i="4" s="1"/>
  <c r="Q26" i="4" s="1"/>
  <c r="R26" i="4" s="1"/>
  <c r="AA24" i="15"/>
  <c r="AB24" i="15"/>
  <c r="AB21" i="15"/>
  <c r="AA21" i="15"/>
  <c r="AA25" i="16"/>
  <c r="AB25" i="16"/>
  <c r="B21" i="26"/>
  <c r="B32" i="27" s="1"/>
  <c r="N15" i="7"/>
  <c r="AE22" i="4"/>
  <c r="I43" i="16"/>
  <c r="H44" i="16"/>
  <c r="AC26" i="15"/>
  <c r="AD26" i="15" s="1"/>
  <c r="AE26" i="15"/>
  <c r="AE27" i="15"/>
  <c r="AC27" i="15"/>
  <c r="AD27" i="15" s="1"/>
  <c r="AE19" i="4"/>
  <c r="AC19" i="4"/>
  <c r="AD19" i="4" s="1"/>
  <c r="H7" i="15"/>
  <c r="I6" i="15"/>
  <c r="U30" i="3"/>
  <c r="AB26" i="5"/>
  <c r="AE23" i="5"/>
  <c r="Z7" i="3"/>
  <c r="L43" i="16"/>
  <c r="N12" i="5"/>
  <c r="N7" i="5"/>
  <c r="O7" i="5" s="1"/>
  <c r="P7" i="5" s="1"/>
  <c r="Q7" i="5" s="1"/>
  <c r="R7" i="5" s="1"/>
  <c r="L22" i="3"/>
  <c r="N23" i="3" s="1"/>
  <c r="N28" i="3"/>
  <c r="O28" i="3" s="1"/>
  <c r="P28" i="3" s="1"/>
  <c r="Q28" i="3" s="1"/>
  <c r="R28" i="3" s="1"/>
  <c r="H6" i="3"/>
  <c r="I5" i="3"/>
  <c r="AE25" i="4"/>
  <c r="N17" i="7"/>
  <c r="U30" i="5"/>
  <c r="H42" i="15"/>
  <c r="I41" i="15"/>
  <c r="W22" i="15" s="1"/>
  <c r="L5" i="15"/>
  <c r="AA25" i="5"/>
  <c r="AB25" i="5"/>
  <c r="AB28" i="5"/>
  <c r="AA28" i="5"/>
  <c r="U30" i="4"/>
  <c r="N16" i="7"/>
  <c r="K23" i="15"/>
  <c r="K26" i="16"/>
  <c r="K23" i="16"/>
  <c r="K22" i="16"/>
  <c r="L22" i="16" s="1"/>
  <c r="N24" i="4"/>
  <c r="O24" i="4" s="1"/>
  <c r="P24" i="4" s="1"/>
  <c r="Q24" i="4" s="1"/>
  <c r="R24" i="4" s="1"/>
  <c r="AE28" i="15"/>
  <c r="K9" i="15"/>
  <c r="K8" i="15"/>
  <c r="H42" i="5"/>
  <c r="J6" i="3"/>
  <c r="Z25" i="15"/>
  <c r="E21" i="3"/>
  <c r="D22" i="3" s="1"/>
  <c r="E4" i="5"/>
  <c r="D5" i="5" s="1"/>
  <c r="I22" i="4"/>
  <c r="J6" i="5"/>
  <c r="J6" i="16"/>
  <c r="N11" i="5" l="1"/>
  <c r="O11" i="5" s="1"/>
  <c r="P11" i="5" s="1"/>
  <c r="Q11" i="5" s="1"/>
  <c r="R11" i="5" s="1"/>
  <c r="AB29" i="4"/>
  <c r="AA29" i="4"/>
  <c r="AC30" i="5"/>
  <c r="AD30" i="5" s="1"/>
  <c r="AE30" i="15"/>
  <c r="G19" i="7"/>
  <c r="P6" i="4"/>
  <c r="Q6" i="4" s="1"/>
  <c r="R6" i="4" s="1"/>
  <c r="AE30" i="3"/>
  <c r="AC30" i="3"/>
  <c r="AD30" i="3" s="1"/>
  <c r="AE19" i="16"/>
  <c r="N22" i="3"/>
  <c r="H6" i="16"/>
  <c r="P47" i="5"/>
  <c r="Q47" i="5" s="1"/>
  <c r="R47" i="5" s="1"/>
  <c r="Q6" i="5"/>
  <c r="R6" i="5" s="1"/>
  <c r="N8" i="5"/>
  <c r="O8" i="5" s="1"/>
  <c r="P8" i="5" s="1"/>
  <c r="Q8" i="5" s="1"/>
  <c r="R8" i="5" s="1"/>
  <c r="AC29" i="15"/>
  <c r="AD29" i="15" s="1"/>
  <c r="AA29" i="16"/>
  <c r="AB29" i="16"/>
  <c r="AA29" i="5"/>
  <c r="AB29" i="5"/>
  <c r="Q10" i="5"/>
  <c r="R10" i="5" s="1"/>
  <c r="N8" i="4"/>
  <c r="O8" i="4" s="1"/>
  <c r="P8" i="4" s="1"/>
  <c r="Q8" i="4" s="1"/>
  <c r="R8" i="4" s="1"/>
  <c r="G16" i="7"/>
  <c r="U19" i="4"/>
  <c r="I23" i="5"/>
  <c r="H24" i="5"/>
  <c r="L5" i="3"/>
  <c r="N8" i="3" s="1"/>
  <c r="O8" i="3" s="1"/>
  <c r="P8" i="3" s="1"/>
  <c r="Q8" i="3" s="1"/>
  <c r="R8" i="3" s="1"/>
  <c r="N5" i="3"/>
  <c r="O5" i="3" s="1"/>
  <c r="P5" i="3" s="1"/>
  <c r="Q5" i="3" s="1"/>
  <c r="R5" i="3" s="1"/>
  <c r="P54" i="7"/>
  <c r="N54" i="7"/>
  <c r="Q54" i="7" s="1"/>
  <c r="N42" i="4"/>
  <c r="O42" i="4" s="1"/>
  <c r="P42" i="4" s="1"/>
  <c r="Q42" i="4" s="1"/>
  <c r="R42" i="4" s="1"/>
  <c r="N50" i="4"/>
  <c r="N45" i="4"/>
  <c r="O45" i="4" s="1"/>
  <c r="P45" i="4" s="1"/>
  <c r="Q45" i="4" s="1"/>
  <c r="R45" i="4" s="1"/>
  <c r="N47" i="4"/>
  <c r="O47" i="4" s="1"/>
  <c r="P47" i="4" s="1"/>
  <c r="Q47" i="4" s="1"/>
  <c r="R47" i="4" s="1"/>
  <c r="N44" i="4"/>
  <c r="O44" i="4" s="1"/>
  <c r="P44" i="4" s="1"/>
  <c r="Q44" i="4" s="1"/>
  <c r="R44" i="4" s="1"/>
  <c r="N43" i="4"/>
  <c r="O43" i="4" s="1"/>
  <c r="P43" i="4" s="1"/>
  <c r="Q43" i="4" s="1"/>
  <c r="R43" i="4" s="1"/>
  <c r="N49" i="4"/>
  <c r="O49" i="4" s="1"/>
  <c r="P49" i="4" s="1"/>
  <c r="Q49" i="4" s="1"/>
  <c r="R49" i="4" s="1"/>
  <c r="N46" i="4"/>
  <c r="O46" i="4" s="1"/>
  <c r="P46" i="4" s="1"/>
  <c r="Q46" i="4" s="1"/>
  <c r="R46" i="4" s="1"/>
  <c r="N48" i="4"/>
  <c r="O48" i="4" s="1"/>
  <c r="P48" i="4" s="1"/>
  <c r="Q48" i="4" s="1"/>
  <c r="R48" i="4" s="1"/>
  <c r="AB19" i="5"/>
  <c r="AA19" i="5"/>
  <c r="N49" i="5"/>
  <c r="O49" i="5" s="1"/>
  <c r="P49" i="5" s="1"/>
  <c r="Q49" i="5" s="1"/>
  <c r="R49" i="5" s="1"/>
  <c r="R9" i="16"/>
  <c r="N46" i="5"/>
  <c r="O46" i="5" s="1"/>
  <c r="P46" i="5" s="1"/>
  <c r="Q46" i="5" s="1"/>
  <c r="R46" i="5" s="1"/>
  <c r="R6" i="16"/>
  <c r="N10" i="4"/>
  <c r="O10" i="4" s="1"/>
  <c r="P10" i="4" s="1"/>
  <c r="Q10" i="4" s="1"/>
  <c r="R10" i="4" s="1"/>
  <c r="AE26" i="4"/>
  <c r="N50" i="3"/>
  <c r="O50" i="3" s="1"/>
  <c r="P50" i="3" s="1"/>
  <c r="Q50" i="3" s="1"/>
  <c r="R50" i="3" s="1"/>
  <c r="AE19" i="3"/>
  <c r="N5" i="16"/>
  <c r="O5" i="16" s="1"/>
  <c r="P5" i="16" s="1"/>
  <c r="Q5" i="16" s="1"/>
  <c r="R5" i="16" s="1"/>
  <c r="AE23" i="4"/>
  <c r="N48" i="5"/>
  <c r="O48" i="5" s="1"/>
  <c r="P48" i="5" s="1"/>
  <c r="Q48" i="5" s="1"/>
  <c r="R48" i="5" s="1"/>
  <c r="N50" i="5"/>
  <c r="O50" i="5" s="1"/>
  <c r="N11" i="4"/>
  <c r="O11" i="4" s="1"/>
  <c r="P11" i="4" s="1"/>
  <c r="Q11" i="4" s="1"/>
  <c r="R11" i="4" s="1"/>
  <c r="L43" i="3"/>
  <c r="N43" i="3" s="1"/>
  <c r="O43" i="3" s="1"/>
  <c r="P43" i="3" s="1"/>
  <c r="Q43" i="3" s="1"/>
  <c r="R43" i="3" s="1"/>
  <c r="N8" i="16"/>
  <c r="O8" i="16" s="1"/>
  <c r="P8" i="16" s="1"/>
  <c r="Q8" i="16" s="1"/>
  <c r="R8" i="16" s="1"/>
  <c r="AC20" i="3"/>
  <c r="AD20" i="3" s="1"/>
  <c r="AD31" i="3" s="1"/>
  <c r="AE31" i="3" s="1"/>
  <c r="R7" i="16"/>
  <c r="N5" i="4"/>
  <c r="O5" i="4" s="1"/>
  <c r="P5" i="4" s="1"/>
  <c r="Q5" i="4" s="1"/>
  <c r="R5" i="4" s="1"/>
  <c r="N7" i="4"/>
  <c r="O7" i="4" s="1"/>
  <c r="P7" i="4" s="1"/>
  <c r="Q7" i="4" s="1"/>
  <c r="AB27" i="5"/>
  <c r="AA27" i="5"/>
  <c r="N47" i="3"/>
  <c r="O47" i="3" s="1"/>
  <c r="P47" i="3" s="1"/>
  <c r="Q47" i="3" s="1"/>
  <c r="R47" i="3" s="1"/>
  <c r="N9" i="4"/>
  <c r="O9" i="4" s="1"/>
  <c r="P9" i="4" s="1"/>
  <c r="Q9" i="4" s="1"/>
  <c r="R9" i="4" s="1"/>
  <c r="I24" i="4"/>
  <c r="H25" i="4"/>
  <c r="AA27" i="4"/>
  <c r="AB27" i="4"/>
  <c r="N44" i="3"/>
  <c r="O44" i="3" s="1"/>
  <c r="P44" i="3" s="1"/>
  <c r="Q44" i="3" s="1"/>
  <c r="R44" i="3" s="1"/>
  <c r="R11" i="16"/>
  <c r="N43" i="5"/>
  <c r="O43" i="5" s="1"/>
  <c r="P43" i="5" s="1"/>
  <c r="Q43" i="5" s="1"/>
  <c r="R43" i="5" s="1"/>
  <c r="N12" i="4"/>
  <c r="O12" i="4" s="1"/>
  <c r="AC21" i="5"/>
  <c r="AD21" i="5" s="1"/>
  <c r="AB21" i="16"/>
  <c r="AA21" i="16"/>
  <c r="C11" i="26"/>
  <c r="V20" i="3"/>
  <c r="H25" i="7"/>
  <c r="AC26" i="4"/>
  <c r="AD26" i="4" s="1"/>
  <c r="O22" i="4"/>
  <c r="P22" i="4" s="1"/>
  <c r="Q22" i="4" s="1"/>
  <c r="R22" i="4" s="1"/>
  <c r="N25" i="3"/>
  <c r="O25" i="3" s="1"/>
  <c r="P25" i="3" s="1"/>
  <c r="Q25" i="3" s="1"/>
  <c r="R25" i="3" s="1"/>
  <c r="N45" i="5"/>
  <c r="O45" i="5" s="1"/>
  <c r="P45" i="5" s="1"/>
  <c r="Q45" i="5" s="1"/>
  <c r="R45" i="5" s="1"/>
  <c r="AC22" i="16"/>
  <c r="AD22" i="16" s="1"/>
  <c r="H8" i="4"/>
  <c r="I7" i="4"/>
  <c r="AA24" i="5"/>
  <c r="AB24" i="5"/>
  <c r="I25" i="16"/>
  <c r="H26" i="16"/>
  <c r="I6" i="16"/>
  <c r="H7" i="16"/>
  <c r="AA24" i="4"/>
  <c r="AB24" i="4"/>
  <c r="H43" i="4"/>
  <c r="I42" i="4"/>
  <c r="AE24" i="16"/>
  <c r="H16" i="7"/>
  <c r="U20" i="4"/>
  <c r="AE21" i="5"/>
  <c r="N44" i="5"/>
  <c r="O44" i="5" s="1"/>
  <c r="P44" i="5" s="1"/>
  <c r="Q44" i="5" s="1"/>
  <c r="R44" i="5" s="1"/>
  <c r="N25" i="4"/>
  <c r="O25" i="4" s="1"/>
  <c r="P25" i="4" s="1"/>
  <c r="Q25" i="4" s="1"/>
  <c r="R25" i="4" s="1"/>
  <c r="N27" i="4"/>
  <c r="O27" i="4" s="1"/>
  <c r="P27" i="4" s="1"/>
  <c r="Q27" i="4" s="1"/>
  <c r="R27" i="4" s="1"/>
  <c r="N28" i="4"/>
  <c r="O28" i="4" s="1"/>
  <c r="P28" i="4" s="1"/>
  <c r="Q28" i="4" s="1"/>
  <c r="R28" i="4" s="1"/>
  <c r="AC28" i="15"/>
  <c r="AD28" i="15" s="1"/>
  <c r="V20" i="15"/>
  <c r="H28" i="7"/>
  <c r="AC19" i="15"/>
  <c r="AD19" i="15" s="1"/>
  <c r="AE19" i="15"/>
  <c r="AC26" i="16"/>
  <c r="AD26" i="16" s="1"/>
  <c r="AE26" i="16"/>
  <c r="H25" i="3"/>
  <c r="I24" i="3"/>
  <c r="E52" i="27"/>
  <c r="D52" i="27"/>
  <c r="F52" i="27" s="1"/>
  <c r="V19" i="15"/>
  <c r="G28" i="7"/>
  <c r="N23" i="5"/>
  <c r="O23" i="5" s="1"/>
  <c r="P23" i="5" s="1"/>
  <c r="Q23" i="5" s="1"/>
  <c r="R23" i="5" s="1"/>
  <c r="N42" i="5"/>
  <c r="O42" i="5" s="1"/>
  <c r="P42" i="5" s="1"/>
  <c r="Q42" i="5" s="1"/>
  <c r="R42" i="5" s="1"/>
  <c r="AB21" i="4"/>
  <c r="AA21" i="4"/>
  <c r="O22" i="3"/>
  <c r="P22" i="3" s="1"/>
  <c r="Q22" i="3" s="1"/>
  <c r="R22" i="3" s="1"/>
  <c r="E32" i="27"/>
  <c r="D32" i="27"/>
  <c r="N12" i="15"/>
  <c r="N8" i="15"/>
  <c r="O8" i="15" s="1"/>
  <c r="P8" i="15" s="1"/>
  <c r="Q8" i="15" s="1"/>
  <c r="R8" i="15" s="1"/>
  <c r="N5" i="15"/>
  <c r="O5" i="15" s="1"/>
  <c r="P5" i="15" s="1"/>
  <c r="Q5" i="15" s="1"/>
  <c r="R5" i="15" s="1"/>
  <c r="N10" i="15"/>
  <c r="O10" i="15" s="1"/>
  <c r="P10" i="15" s="1"/>
  <c r="Q10" i="15" s="1"/>
  <c r="R10" i="15" s="1"/>
  <c r="N7" i="15"/>
  <c r="O7" i="15" s="1"/>
  <c r="P7" i="15" s="1"/>
  <c r="Q7" i="15" s="1"/>
  <c r="R7" i="15" s="1"/>
  <c r="N11" i="15"/>
  <c r="O11" i="15" s="1"/>
  <c r="P11" i="15" s="1"/>
  <c r="Q11" i="15" s="1"/>
  <c r="R11" i="15" s="1"/>
  <c r="N6" i="15"/>
  <c r="O6" i="15" s="1"/>
  <c r="P6" i="15" s="1"/>
  <c r="Q6" i="15" s="1"/>
  <c r="R6" i="15" s="1"/>
  <c r="N45" i="16"/>
  <c r="O45" i="16" s="1"/>
  <c r="P45" i="16" s="1"/>
  <c r="Q45" i="16" s="1"/>
  <c r="R45" i="16" s="1"/>
  <c r="N49" i="16"/>
  <c r="O49" i="16" s="1"/>
  <c r="P49" i="16" s="1"/>
  <c r="Q49" i="16" s="1"/>
  <c r="R49" i="16" s="1"/>
  <c r="N50" i="16"/>
  <c r="N47" i="16"/>
  <c r="O47" i="16" s="1"/>
  <c r="P47" i="16" s="1"/>
  <c r="Q47" i="16" s="1"/>
  <c r="R47" i="16" s="1"/>
  <c r="N42" i="16"/>
  <c r="O42" i="16" s="1"/>
  <c r="P42" i="16" s="1"/>
  <c r="Q42" i="16" s="1"/>
  <c r="R42" i="16" s="1"/>
  <c r="N43" i="16"/>
  <c r="O43" i="16" s="1"/>
  <c r="P43" i="16" s="1"/>
  <c r="Q43" i="16" s="1"/>
  <c r="R43" i="16" s="1"/>
  <c r="N48" i="16"/>
  <c r="O48" i="16" s="1"/>
  <c r="P48" i="16" s="1"/>
  <c r="Q48" i="16" s="1"/>
  <c r="R48" i="16" s="1"/>
  <c r="N44" i="16"/>
  <c r="O44" i="16" s="1"/>
  <c r="P44" i="16" s="1"/>
  <c r="Q44" i="16" s="1"/>
  <c r="R44" i="16" s="1"/>
  <c r="N46" i="16"/>
  <c r="O46" i="16" s="1"/>
  <c r="P46" i="16" s="1"/>
  <c r="Q46" i="16" s="1"/>
  <c r="R46" i="16" s="1"/>
  <c r="AE26" i="5"/>
  <c r="AC26" i="5"/>
  <c r="AD26" i="5" s="1"/>
  <c r="G15" i="7"/>
  <c r="B10" i="26"/>
  <c r="U19" i="3"/>
  <c r="N27" i="3"/>
  <c r="O27" i="3" s="1"/>
  <c r="P27" i="3" s="1"/>
  <c r="Q27" i="3" s="1"/>
  <c r="R27" i="3" s="1"/>
  <c r="N24" i="3"/>
  <c r="O24" i="3" s="1"/>
  <c r="P24" i="3" s="1"/>
  <c r="Q24" i="3" s="1"/>
  <c r="R24" i="3" s="1"/>
  <c r="N26" i="3"/>
  <c r="O26" i="3" s="1"/>
  <c r="P26" i="3" s="1"/>
  <c r="Q26" i="3" s="1"/>
  <c r="R26" i="3" s="1"/>
  <c r="N29" i="3"/>
  <c r="AE25" i="16"/>
  <c r="AC25" i="16"/>
  <c r="AD25" i="16" s="1"/>
  <c r="I28" i="7"/>
  <c r="V21" i="15"/>
  <c r="D15" i="26"/>
  <c r="W24" i="3"/>
  <c r="I35" i="7"/>
  <c r="N22" i="16"/>
  <c r="N29" i="16"/>
  <c r="N25" i="16"/>
  <c r="O25" i="16" s="1"/>
  <c r="P25" i="16" s="1"/>
  <c r="Q25" i="16" s="1"/>
  <c r="R25" i="16" s="1"/>
  <c r="N26" i="16"/>
  <c r="O26" i="16" s="1"/>
  <c r="P26" i="16" s="1"/>
  <c r="Q26" i="16" s="1"/>
  <c r="R26" i="16" s="1"/>
  <c r="N24" i="16"/>
  <c r="O24" i="16" s="1"/>
  <c r="P24" i="16" s="1"/>
  <c r="Q24" i="16" s="1"/>
  <c r="R24" i="16" s="1"/>
  <c r="N28" i="16"/>
  <c r="O28" i="16" s="1"/>
  <c r="P28" i="16" s="1"/>
  <c r="Q28" i="16" s="1"/>
  <c r="R28" i="16" s="1"/>
  <c r="N23" i="16"/>
  <c r="N27" i="16"/>
  <c r="O27" i="16" s="1"/>
  <c r="P27" i="16" s="1"/>
  <c r="Q27" i="16" s="1"/>
  <c r="R27" i="16" s="1"/>
  <c r="O50" i="4"/>
  <c r="G26" i="7"/>
  <c r="V19" i="4"/>
  <c r="U20" i="15"/>
  <c r="H18" i="7"/>
  <c r="I44" i="16"/>
  <c r="H45" i="16"/>
  <c r="H8" i="15"/>
  <c r="I7" i="15"/>
  <c r="W24" i="16"/>
  <c r="I39" i="7"/>
  <c r="O29" i="4"/>
  <c r="U19" i="5"/>
  <c r="G17" i="7"/>
  <c r="I42" i="15"/>
  <c r="H43" i="15"/>
  <c r="H45" i="3"/>
  <c r="I44" i="3"/>
  <c r="AC28" i="5"/>
  <c r="AD28" i="5" s="1"/>
  <c r="AE28" i="5"/>
  <c r="O23" i="4"/>
  <c r="P23" i="4" s="1"/>
  <c r="Q23" i="4" s="1"/>
  <c r="R23" i="4" s="1"/>
  <c r="O12" i="16"/>
  <c r="N14" i="16"/>
  <c r="H7" i="5"/>
  <c r="I6" i="5"/>
  <c r="L43" i="15"/>
  <c r="N46" i="15" s="1"/>
  <c r="O46" i="15" s="1"/>
  <c r="P46" i="15" s="1"/>
  <c r="Q46" i="15" s="1"/>
  <c r="R46" i="15" s="1"/>
  <c r="AC28" i="4"/>
  <c r="AD28" i="4" s="1"/>
  <c r="AE28" i="4"/>
  <c r="I42" i="5"/>
  <c r="H43" i="5"/>
  <c r="AC25" i="5"/>
  <c r="AD25" i="5" s="1"/>
  <c r="AE25" i="5"/>
  <c r="O12" i="5"/>
  <c r="N14" i="5"/>
  <c r="H7" i="3"/>
  <c r="I6" i="3"/>
  <c r="AC21" i="15"/>
  <c r="AD21" i="15" s="1"/>
  <c r="AE21" i="15"/>
  <c r="H26" i="15"/>
  <c r="I25" i="15"/>
  <c r="O23" i="3"/>
  <c r="P23" i="3" s="1"/>
  <c r="Q23" i="3" s="1"/>
  <c r="R23" i="3" s="1"/>
  <c r="AA25" i="15"/>
  <c r="AB25" i="15"/>
  <c r="N9" i="15"/>
  <c r="O9" i="15" s="1"/>
  <c r="P9" i="15" s="1"/>
  <c r="Q9" i="15" s="1"/>
  <c r="R9" i="15" s="1"/>
  <c r="N29" i="5"/>
  <c r="N22" i="5"/>
  <c r="N25" i="5"/>
  <c r="O25" i="5" s="1"/>
  <c r="P25" i="5" s="1"/>
  <c r="Q25" i="5" s="1"/>
  <c r="R25" i="5" s="1"/>
  <c r="N27" i="5"/>
  <c r="O27" i="5" s="1"/>
  <c r="P27" i="5" s="1"/>
  <c r="Q27" i="5" s="1"/>
  <c r="R27" i="5" s="1"/>
  <c r="N28" i="5"/>
  <c r="O28" i="5" s="1"/>
  <c r="P28" i="5" s="1"/>
  <c r="Q28" i="5" s="1"/>
  <c r="R28" i="5" s="1"/>
  <c r="N26" i="5"/>
  <c r="O26" i="5" s="1"/>
  <c r="P26" i="5" s="1"/>
  <c r="Q26" i="5" s="1"/>
  <c r="R26" i="5" s="1"/>
  <c r="AE24" i="15"/>
  <c r="AC24" i="15"/>
  <c r="AD24" i="15" s="1"/>
  <c r="N44" i="15"/>
  <c r="O44" i="15" s="1"/>
  <c r="P44" i="15" s="1"/>
  <c r="Q44" i="15" s="1"/>
  <c r="R44" i="15" s="1"/>
  <c r="N42" i="15"/>
  <c r="O42" i="15" s="1"/>
  <c r="P42" i="15" s="1"/>
  <c r="Q42" i="15" s="1"/>
  <c r="R42" i="15" s="1"/>
  <c r="L22" i="15"/>
  <c r="N25" i="15" s="1"/>
  <c r="O25" i="15" s="1"/>
  <c r="P25" i="15" s="1"/>
  <c r="Q25" i="15" s="1"/>
  <c r="R25" i="15" s="1"/>
  <c r="AE29" i="5" l="1"/>
  <c r="AC29" i="5"/>
  <c r="AD29" i="5" s="1"/>
  <c r="AE29" i="4"/>
  <c r="AC29" i="4"/>
  <c r="AD29" i="4" s="1"/>
  <c r="N46" i="3"/>
  <c r="O46" i="3" s="1"/>
  <c r="P46" i="3" s="1"/>
  <c r="Q46" i="3" s="1"/>
  <c r="R46" i="3" s="1"/>
  <c r="I24" i="5"/>
  <c r="H25" i="5"/>
  <c r="N14" i="4"/>
  <c r="L6" i="4" s="1"/>
  <c r="V20" i="5"/>
  <c r="H27" i="7"/>
  <c r="AC29" i="16"/>
  <c r="AD29" i="16" s="1"/>
  <c r="AE29" i="16"/>
  <c r="N10" i="3"/>
  <c r="O10" i="3" s="1"/>
  <c r="P10" i="3" s="1"/>
  <c r="Q10" i="3" s="1"/>
  <c r="R10" i="3" s="1"/>
  <c r="N9" i="3"/>
  <c r="O9" i="3" s="1"/>
  <c r="P9" i="3" s="1"/>
  <c r="Q9" i="3" s="1"/>
  <c r="R9" i="3" s="1"/>
  <c r="N11" i="3"/>
  <c r="O11" i="3" s="1"/>
  <c r="P11" i="3" s="1"/>
  <c r="Q11" i="3" s="1"/>
  <c r="R11" i="3" s="1"/>
  <c r="N6" i="3"/>
  <c r="O6" i="3" s="1"/>
  <c r="P6" i="3" s="1"/>
  <c r="Q6" i="3" s="1"/>
  <c r="R6" i="3" s="1"/>
  <c r="N7" i="3"/>
  <c r="O7" i="3" s="1"/>
  <c r="P7" i="3" s="1"/>
  <c r="Q7" i="3" s="1"/>
  <c r="R7" i="3" s="1"/>
  <c r="N12" i="3"/>
  <c r="O12" i="3" s="1"/>
  <c r="H26" i="4"/>
  <c r="I25" i="4"/>
  <c r="N50" i="15"/>
  <c r="O50" i="15" s="1"/>
  <c r="N24" i="15"/>
  <c r="O24" i="15" s="1"/>
  <c r="P24" i="15" s="1"/>
  <c r="Q24" i="15" s="1"/>
  <c r="R24" i="15" s="1"/>
  <c r="N52" i="4"/>
  <c r="V21" i="4"/>
  <c r="I26" i="7"/>
  <c r="N22" i="15"/>
  <c r="N42" i="3"/>
  <c r="N43" i="15"/>
  <c r="O43" i="15" s="1"/>
  <c r="P43" i="15" s="1"/>
  <c r="Q43" i="15" s="1"/>
  <c r="R43" i="15" s="1"/>
  <c r="G22" i="3"/>
  <c r="AC21" i="4"/>
  <c r="AD21" i="4" s="1"/>
  <c r="N48" i="3"/>
  <c r="O48" i="3" s="1"/>
  <c r="P48" i="3" s="1"/>
  <c r="Q48" i="3" s="1"/>
  <c r="R48" i="3" s="1"/>
  <c r="AE27" i="5"/>
  <c r="AC27" i="5"/>
  <c r="AD27" i="5" s="1"/>
  <c r="N49" i="3"/>
  <c r="O49" i="3" s="1"/>
  <c r="P49" i="3" s="1"/>
  <c r="Q49" i="3" s="1"/>
  <c r="R49" i="3" s="1"/>
  <c r="N49" i="15"/>
  <c r="O49" i="15" s="1"/>
  <c r="P49" i="15" s="1"/>
  <c r="Q49" i="15" s="1"/>
  <c r="R49" i="15" s="1"/>
  <c r="AE27" i="4"/>
  <c r="AC27" i="4"/>
  <c r="AD27" i="4" s="1"/>
  <c r="N26" i="15"/>
  <c r="O26" i="15" s="1"/>
  <c r="P26" i="15" s="1"/>
  <c r="Q26" i="15" s="1"/>
  <c r="R26" i="15" s="1"/>
  <c r="N45" i="3"/>
  <c r="O45" i="3" s="1"/>
  <c r="P45" i="3" s="1"/>
  <c r="Q45" i="3" s="1"/>
  <c r="R45" i="3" s="1"/>
  <c r="AC19" i="5"/>
  <c r="AD19" i="5" s="1"/>
  <c r="AE19" i="5"/>
  <c r="I16" i="7"/>
  <c r="U21" i="4"/>
  <c r="AC24" i="4"/>
  <c r="AD24" i="4" s="1"/>
  <c r="AE24" i="4"/>
  <c r="H8" i="16"/>
  <c r="I7" i="16"/>
  <c r="I26" i="16"/>
  <c r="H27" i="16"/>
  <c r="I43" i="4"/>
  <c r="H44" i="4"/>
  <c r="H19" i="7"/>
  <c r="U20" i="16"/>
  <c r="P12" i="4"/>
  <c r="O14" i="4"/>
  <c r="L7" i="4" s="1"/>
  <c r="N48" i="15"/>
  <c r="O48" i="15" s="1"/>
  <c r="P48" i="15" s="1"/>
  <c r="Q48" i="15" s="1"/>
  <c r="R48" i="15" s="1"/>
  <c r="N45" i="15"/>
  <c r="O45" i="15" s="1"/>
  <c r="P45" i="15" s="1"/>
  <c r="Q45" i="15" s="1"/>
  <c r="R45" i="15" s="1"/>
  <c r="AE21" i="4"/>
  <c r="V21" i="3"/>
  <c r="I25" i="7"/>
  <c r="C12" i="26"/>
  <c r="J29" i="7"/>
  <c r="V22" i="16"/>
  <c r="G22" i="4"/>
  <c r="AC21" i="16"/>
  <c r="AD21" i="16" s="1"/>
  <c r="AD31" i="16" s="1"/>
  <c r="AE31" i="16" s="1"/>
  <c r="AE21" i="16"/>
  <c r="AE24" i="5"/>
  <c r="AC24" i="5"/>
  <c r="AD24" i="5" s="1"/>
  <c r="N52" i="5"/>
  <c r="L44" i="5" s="1"/>
  <c r="O41" i="5" s="1"/>
  <c r="H9" i="4"/>
  <c r="I8" i="4"/>
  <c r="B42" i="27"/>
  <c r="N31" i="4"/>
  <c r="L23" i="4" s="1"/>
  <c r="H26" i="3"/>
  <c r="I25" i="3"/>
  <c r="H36" i="7"/>
  <c r="G36" i="7" s="1"/>
  <c r="W23" i="4"/>
  <c r="B11" i="26"/>
  <c r="B22" i="27" s="1"/>
  <c r="U20" i="3"/>
  <c r="H15" i="7"/>
  <c r="H44" i="5"/>
  <c r="I43" i="5"/>
  <c r="I7" i="5"/>
  <c r="H8" i="5"/>
  <c r="B21" i="27"/>
  <c r="AE25" i="15"/>
  <c r="AC25" i="15"/>
  <c r="AD25" i="15" s="1"/>
  <c r="AD31" i="15" s="1"/>
  <c r="AE31" i="15" s="1"/>
  <c r="I7" i="3"/>
  <c r="H8" i="3"/>
  <c r="W23" i="5"/>
  <c r="H37" i="7"/>
  <c r="G37" i="7" s="1"/>
  <c r="L6" i="16"/>
  <c r="O22" i="15"/>
  <c r="P22" i="15" s="1"/>
  <c r="Q22" i="15" s="1"/>
  <c r="R22" i="15" s="1"/>
  <c r="P29" i="4"/>
  <c r="O31" i="4"/>
  <c r="L24" i="4" s="1"/>
  <c r="P12" i="3"/>
  <c r="N28" i="15"/>
  <c r="O28" i="15" s="1"/>
  <c r="P28" i="15" s="1"/>
  <c r="Q28" i="15" s="1"/>
  <c r="R28" i="15" s="1"/>
  <c r="N29" i="15"/>
  <c r="P50" i="5"/>
  <c r="P12" i="16"/>
  <c r="O14" i="16"/>
  <c r="L7" i="16" s="1"/>
  <c r="H46" i="16"/>
  <c r="I45" i="16"/>
  <c r="N47" i="15"/>
  <c r="O47" i="15" s="1"/>
  <c r="P47" i="15" s="1"/>
  <c r="Q47" i="15" s="1"/>
  <c r="R47" i="15" s="1"/>
  <c r="G23" i="3"/>
  <c r="W25" i="3"/>
  <c r="J35" i="7"/>
  <c r="D16" i="26"/>
  <c r="B62" i="27" s="1"/>
  <c r="J39" i="7"/>
  <c r="W25" i="16"/>
  <c r="B61" i="27"/>
  <c r="N31" i="3"/>
  <c r="L23" i="3" s="1"/>
  <c r="O29" i="3"/>
  <c r="F32" i="27"/>
  <c r="L44" i="4"/>
  <c r="O41" i="4" s="1"/>
  <c r="P41" i="4" s="1"/>
  <c r="Q41" i="4" s="1"/>
  <c r="R41" i="4" s="1"/>
  <c r="O50" i="16"/>
  <c r="N52" i="16"/>
  <c r="L6" i="5"/>
  <c r="P12" i="5"/>
  <c r="O14" i="5"/>
  <c r="L7" i="5" s="1"/>
  <c r="G23" i="4"/>
  <c r="P50" i="4"/>
  <c r="O29" i="5"/>
  <c r="N31" i="5"/>
  <c r="L23" i="5" s="1"/>
  <c r="W23" i="15"/>
  <c r="H38" i="7"/>
  <c r="G38" i="7" s="1"/>
  <c r="N27" i="15"/>
  <c r="O27" i="15" s="1"/>
  <c r="P27" i="15" s="1"/>
  <c r="Q27" i="15" s="1"/>
  <c r="R27" i="15" s="1"/>
  <c r="V22" i="15"/>
  <c r="J28" i="7"/>
  <c r="I45" i="3"/>
  <c r="H46" i="3"/>
  <c r="U21" i="15"/>
  <c r="I18" i="7"/>
  <c r="N31" i="16"/>
  <c r="L23" i="16" s="1"/>
  <c r="O29" i="16"/>
  <c r="O22" i="5"/>
  <c r="P22" i="5" s="1"/>
  <c r="Q22" i="5" s="1"/>
  <c r="R22" i="5" s="1"/>
  <c r="G22" i="5"/>
  <c r="I26" i="15"/>
  <c r="H27" i="15"/>
  <c r="I43" i="15"/>
  <c r="H44" i="15"/>
  <c r="I8" i="15"/>
  <c r="H9" i="15"/>
  <c r="O22" i="16"/>
  <c r="P22" i="16" s="1"/>
  <c r="Q22" i="16" s="1"/>
  <c r="R22" i="16" s="1"/>
  <c r="H17" i="7"/>
  <c r="U20" i="5"/>
  <c r="N23" i="15"/>
  <c r="O23" i="16"/>
  <c r="P23" i="16" s="1"/>
  <c r="Q23" i="16" s="1"/>
  <c r="R23" i="16" s="1"/>
  <c r="R7" i="4"/>
  <c r="G23" i="5"/>
  <c r="N14" i="15"/>
  <c r="O12" i="15"/>
  <c r="I25" i="5" l="1"/>
  <c r="H26" i="5"/>
  <c r="AD31" i="4"/>
  <c r="AE31" i="4" s="1"/>
  <c r="V21" i="5"/>
  <c r="I27" i="7"/>
  <c r="O14" i="3"/>
  <c r="L7" i="3" s="1"/>
  <c r="N14" i="3"/>
  <c r="L6" i="3" s="1"/>
  <c r="H27" i="4"/>
  <c r="I26" i="4"/>
  <c r="AD31" i="5"/>
  <c r="AE31" i="5" s="1"/>
  <c r="V22" i="4"/>
  <c r="J26" i="7"/>
  <c r="O42" i="3"/>
  <c r="P42" i="3" s="1"/>
  <c r="Q42" i="3" s="1"/>
  <c r="R42" i="3" s="1"/>
  <c r="N52" i="3"/>
  <c r="L44" i="3" s="1"/>
  <c r="O41" i="3" s="1"/>
  <c r="P41" i="5"/>
  <c r="Q41" i="5" s="1"/>
  <c r="R41" i="5" s="1"/>
  <c r="O52" i="5"/>
  <c r="L45" i="5" s="1"/>
  <c r="H27" i="3"/>
  <c r="I26" i="3"/>
  <c r="I8" i="16"/>
  <c r="H9" i="16"/>
  <c r="I44" i="4"/>
  <c r="H45" i="4"/>
  <c r="D42" i="27"/>
  <c r="E42" i="27"/>
  <c r="I27" i="16"/>
  <c r="H28" i="16"/>
  <c r="I28" i="16" s="1"/>
  <c r="I9" i="4"/>
  <c r="H10" i="4"/>
  <c r="Q12" i="4"/>
  <c r="P14" i="4"/>
  <c r="I19" i="7"/>
  <c r="U21" i="16"/>
  <c r="G23" i="16"/>
  <c r="I36" i="7"/>
  <c r="W24" i="4"/>
  <c r="N52" i="15"/>
  <c r="B43" i="27"/>
  <c r="V23" i="16"/>
  <c r="K29" i="7"/>
  <c r="J25" i="7"/>
  <c r="V22" i="3"/>
  <c r="C13" i="26"/>
  <c r="O52" i="4"/>
  <c r="L45" i="4" s="1"/>
  <c r="J16" i="7"/>
  <c r="U22" i="4"/>
  <c r="D62" i="27"/>
  <c r="E62" i="27"/>
  <c r="I17" i="7"/>
  <c r="U21" i="5"/>
  <c r="O14" i="15"/>
  <c r="L7" i="15" s="1"/>
  <c r="P12" i="15"/>
  <c r="G22" i="16"/>
  <c r="D61" i="27"/>
  <c r="E61" i="27"/>
  <c r="P41" i="3"/>
  <c r="Q50" i="5"/>
  <c r="P14" i="3"/>
  <c r="Q12" i="3"/>
  <c r="D22" i="27"/>
  <c r="E22" i="27"/>
  <c r="W24" i="5"/>
  <c r="I37" i="7"/>
  <c r="L6" i="15"/>
  <c r="O23" i="15"/>
  <c r="P23" i="15" s="1"/>
  <c r="Q23" i="15" s="1"/>
  <c r="R23" i="15" s="1"/>
  <c r="H10" i="15"/>
  <c r="I9" i="15"/>
  <c r="O31" i="16"/>
  <c r="L24" i="16" s="1"/>
  <c r="P29" i="16"/>
  <c r="Q50" i="4"/>
  <c r="P52" i="4"/>
  <c r="I8" i="3"/>
  <c r="H9" i="3"/>
  <c r="D21" i="27"/>
  <c r="E21" i="27"/>
  <c r="I44" i="5"/>
  <c r="H45" i="5"/>
  <c r="U22" i="15"/>
  <c r="J18" i="7"/>
  <c r="K39" i="7"/>
  <c r="W26" i="16"/>
  <c r="U21" i="3"/>
  <c r="I15" i="7"/>
  <c r="B12" i="26"/>
  <c r="B23" i="27" s="1"/>
  <c r="I44" i="15"/>
  <c r="H45" i="15"/>
  <c r="P50" i="15"/>
  <c r="W24" i="15"/>
  <c r="I38" i="7"/>
  <c r="I27" i="15"/>
  <c r="H28" i="15"/>
  <c r="I28" i="15" s="1"/>
  <c r="I46" i="3"/>
  <c r="H47" i="3"/>
  <c r="P14" i="5"/>
  <c r="Q12" i="5"/>
  <c r="N31" i="15"/>
  <c r="L23" i="15" s="1"/>
  <c r="O29" i="15"/>
  <c r="P31" i="4"/>
  <c r="L25" i="4" s="1"/>
  <c r="Q29" i="4"/>
  <c r="O31" i="5"/>
  <c r="L24" i="5" s="1"/>
  <c r="P29" i="5"/>
  <c r="P50" i="16"/>
  <c r="I46" i="16"/>
  <c r="H47" i="16"/>
  <c r="O31" i="3"/>
  <c r="L24" i="3" s="1"/>
  <c r="P29" i="3"/>
  <c r="L44" i="15"/>
  <c r="O41" i="15" s="1"/>
  <c r="P41" i="15" s="1"/>
  <c r="Q41" i="15" s="1"/>
  <c r="R41" i="15" s="1"/>
  <c r="V23" i="15"/>
  <c r="K28" i="7"/>
  <c r="D17" i="26"/>
  <c r="B63" i="27" s="1"/>
  <c r="K35" i="7"/>
  <c r="W26" i="3"/>
  <c r="L44" i="16"/>
  <c r="O41" i="16" s="1"/>
  <c r="P41" i="16" s="1"/>
  <c r="Q41" i="16" s="1"/>
  <c r="R41" i="16" s="1"/>
  <c r="Q12" i="16"/>
  <c r="P14" i="16"/>
  <c r="G22" i="15"/>
  <c r="I8" i="5"/>
  <c r="H9" i="5"/>
  <c r="O52" i="15" l="1"/>
  <c r="L45" i="15" s="1"/>
  <c r="H27" i="5"/>
  <c r="I26" i="5"/>
  <c r="P52" i="5"/>
  <c r="L46" i="5" s="1"/>
  <c r="J27" i="7"/>
  <c r="V22" i="5"/>
  <c r="F22" i="27"/>
  <c r="V23" i="4"/>
  <c r="K26" i="7"/>
  <c r="O52" i="3"/>
  <c r="H28" i="4"/>
  <c r="I28" i="4" s="1"/>
  <c r="I27" i="4"/>
  <c r="V25" i="16"/>
  <c r="V26" i="16" s="1"/>
  <c r="V27" i="16" s="1"/>
  <c r="V28" i="16" s="1"/>
  <c r="V29" i="16" s="1"/>
  <c r="M29" i="7"/>
  <c r="V23" i="3"/>
  <c r="C14" i="26"/>
  <c r="B45" i="27" s="1"/>
  <c r="K25" i="7"/>
  <c r="L29" i="7"/>
  <c r="V24" i="16"/>
  <c r="H28" i="3"/>
  <c r="I28" i="3" s="1"/>
  <c r="I27" i="3"/>
  <c r="H10" i="16"/>
  <c r="I9" i="16"/>
  <c r="K16" i="7"/>
  <c r="U23" i="4"/>
  <c r="F42" i="27"/>
  <c r="E43" i="27"/>
  <c r="D43" i="27"/>
  <c r="L8" i="4"/>
  <c r="I45" i="4"/>
  <c r="H46" i="4"/>
  <c r="H11" i="4"/>
  <c r="I11" i="4" s="1"/>
  <c r="I10" i="4"/>
  <c r="J19" i="7"/>
  <c r="U22" i="16"/>
  <c r="B44" i="27"/>
  <c r="R12" i="4"/>
  <c r="R14" i="4" s="1"/>
  <c r="Q14" i="4"/>
  <c r="W25" i="4"/>
  <c r="J36" i="7"/>
  <c r="D63" i="27"/>
  <c r="E63" i="27"/>
  <c r="L8" i="5"/>
  <c r="D23" i="27"/>
  <c r="E23" i="27"/>
  <c r="W25" i="5"/>
  <c r="J37" i="7"/>
  <c r="G23" i="15"/>
  <c r="P14" i="15"/>
  <c r="Q12" i="15"/>
  <c r="R12" i="16"/>
  <c r="R14" i="16" s="1"/>
  <c r="Q14" i="16"/>
  <c r="L9" i="16" s="1"/>
  <c r="L46" i="4"/>
  <c r="L45" i="3"/>
  <c r="Q29" i="3"/>
  <c r="P31" i="3"/>
  <c r="L25" i="3" s="1"/>
  <c r="O52" i="16"/>
  <c r="I47" i="3"/>
  <c r="H48" i="3"/>
  <c r="Q50" i="15"/>
  <c r="P52" i="15"/>
  <c r="F21" i="27"/>
  <c r="R50" i="4"/>
  <c r="R52" i="4" s="1"/>
  <c r="Q52" i="4"/>
  <c r="Q41" i="3"/>
  <c r="P52" i="3"/>
  <c r="L46" i="3" s="1"/>
  <c r="H46" i="5"/>
  <c r="I45" i="5"/>
  <c r="R29" i="4"/>
  <c r="Q31" i="4"/>
  <c r="L26" i="4" s="1"/>
  <c r="B13" i="26"/>
  <c r="J15" i="7"/>
  <c r="U22" i="3"/>
  <c r="W27" i="16"/>
  <c r="L39" i="7"/>
  <c r="R12" i="5"/>
  <c r="R14" i="5" s="1"/>
  <c r="Q14" i="5"/>
  <c r="Q50" i="16"/>
  <c r="P52" i="16"/>
  <c r="L46" i="16" s="1"/>
  <c r="W27" i="3"/>
  <c r="D18" i="26"/>
  <c r="B64" i="27" s="1"/>
  <c r="L35" i="7"/>
  <c r="P31" i="16"/>
  <c r="L25" i="16" s="1"/>
  <c r="Q29" i="16"/>
  <c r="J17" i="7"/>
  <c r="U22" i="5"/>
  <c r="P31" i="5"/>
  <c r="L25" i="5" s="1"/>
  <c r="Q29" i="5"/>
  <c r="M28" i="7"/>
  <c r="V25" i="15"/>
  <c r="V26" i="15" s="1"/>
  <c r="V27" i="15" s="1"/>
  <c r="V28" i="15" s="1"/>
  <c r="V29" i="15" s="1"/>
  <c r="R12" i="3"/>
  <c r="R14" i="3" s="1"/>
  <c r="Q14" i="3"/>
  <c r="F61" i="27"/>
  <c r="V24" i="15"/>
  <c r="L28" i="7"/>
  <c r="U23" i="15"/>
  <c r="K18" i="7"/>
  <c r="L8" i="3"/>
  <c r="F62" i="27"/>
  <c r="J38" i="7"/>
  <c r="W25" i="15"/>
  <c r="R50" i="5"/>
  <c r="R52" i="5" s="1"/>
  <c r="Q52" i="5"/>
  <c r="G43" i="5" s="1"/>
  <c r="L8" i="16"/>
  <c r="H10" i="5"/>
  <c r="I9" i="5"/>
  <c r="H10" i="3"/>
  <c r="I9" i="3"/>
  <c r="I47" i="16"/>
  <c r="H48" i="16"/>
  <c r="O31" i="15"/>
  <c r="L24" i="15" s="1"/>
  <c r="P29" i="15"/>
  <c r="I45" i="15"/>
  <c r="H46" i="15"/>
  <c r="I10" i="15"/>
  <c r="H11" i="15"/>
  <c r="I11" i="15" s="1"/>
  <c r="K27" i="7" l="1"/>
  <c r="V23" i="5"/>
  <c r="I27" i="5"/>
  <c r="H28" i="5"/>
  <c r="I28" i="5" s="1"/>
  <c r="G6" i="3"/>
  <c r="G5" i="3"/>
  <c r="G9" i="3"/>
  <c r="G6" i="5"/>
  <c r="L26" i="7"/>
  <c r="V24" i="4"/>
  <c r="G12" i="16"/>
  <c r="G48" i="4"/>
  <c r="F43" i="27"/>
  <c r="M26" i="7"/>
  <c r="V25" i="4"/>
  <c r="V26" i="4" s="1"/>
  <c r="V27" i="4" s="1"/>
  <c r="V28" i="4" s="1"/>
  <c r="V29" i="4" s="1"/>
  <c r="G12" i="3"/>
  <c r="G8" i="3"/>
  <c r="M25" i="7"/>
  <c r="C16" i="26"/>
  <c r="V25" i="3"/>
  <c r="V26" i="3" s="1"/>
  <c r="V27" i="3" s="1"/>
  <c r="V28" i="3" s="1"/>
  <c r="V29" i="3" s="1"/>
  <c r="F63" i="27"/>
  <c r="G11" i="5"/>
  <c r="G8" i="4"/>
  <c r="G10" i="4"/>
  <c r="L9" i="4"/>
  <c r="G26" i="4"/>
  <c r="G6" i="4"/>
  <c r="G9" i="4"/>
  <c r="G11" i="4"/>
  <c r="G25" i="4"/>
  <c r="G27" i="4"/>
  <c r="G28" i="4"/>
  <c r="G12" i="4"/>
  <c r="G24" i="4"/>
  <c r="G7" i="4"/>
  <c r="G25" i="5"/>
  <c r="W26" i="4"/>
  <c r="K36" i="7"/>
  <c r="K19" i="7"/>
  <c r="U23" i="16"/>
  <c r="D45" i="27"/>
  <c r="E45" i="27"/>
  <c r="L16" i="7"/>
  <c r="U24" i="4"/>
  <c r="M16" i="7"/>
  <c r="U25" i="4"/>
  <c r="U26" i="4" s="1"/>
  <c r="U27" i="4" s="1"/>
  <c r="U28" i="4" s="1"/>
  <c r="U29" i="4" s="1"/>
  <c r="I46" i="4"/>
  <c r="H47" i="4"/>
  <c r="G10" i="16"/>
  <c r="G12" i="5"/>
  <c r="G27" i="5"/>
  <c r="G11" i="16"/>
  <c r="G8" i="16"/>
  <c r="G24" i="5"/>
  <c r="E44" i="27"/>
  <c r="D44" i="27"/>
  <c r="I10" i="16"/>
  <c r="H11" i="16"/>
  <c r="I11" i="16" s="1"/>
  <c r="G7" i="5"/>
  <c r="G44" i="4"/>
  <c r="G5" i="4"/>
  <c r="L25" i="7"/>
  <c r="V24" i="3"/>
  <c r="C15" i="26"/>
  <c r="Q31" i="5"/>
  <c r="L26" i="5" s="1"/>
  <c r="R29" i="5"/>
  <c r="R31" i="5" s="1"/>
  <c r="G49" i="4"/>
  <c r="B14" i="26"/>
  <c r="U23" i="3"/>
  <c r="K15" i="7"/>
  <c r="G24" i="16"/>
  <c r="L9" i="3"/>
  <c r="G11" i="3"/>
  <c r="G25" i="3"/>
  <c r="G24" i="3"/>
  <c r="G10" i="3"/>
  <c r="G27" i="3"/>
  <c r="L46" i="15"/>
  <c r="Q31" i="3"/>
  <c r="L26" i="3" s="1"/>
  <c r="R29" i="3"/>
  <c r="R31" i="3" s="1"/>
  <c r="G43" i="4"/>
  <c r="B24" i="27"/>
  <c r="Q29" i="15"/>
  <c r="P31" i="15"/>
  <c r="L25" i="15" s="1"/>
  <c r="H11" i="3"/>
  <c r="I11" i="3" s="1"/>
  <c r="I10" i="3"/>
  <c r="G27" i="16"/>
  <c r="G7" i="3"/>
  <c r="Q52" i="15"/>
  <c r="R50" i="15"/>
  <c r="R52" i="15" s="1"/>
  <c r="G47" i="15" s="1"/>
  <c r="G46" i="4"/>
  <c r="Q14" i="15"/>
  <c r="G12" i="15" s="1"/>
  <c r="R12" i="15"/>
  <c r="R14" i="15" s="1"/>
  <c r="G45" i="4"/>
  <c r="K17" i="7"/>
  <c r="U23" i="5"/>
  <c r="G5" i="16"/>
  <c r="G48" i="5"/>
  <c r="L9" i="5"/>
  <c r="G8" i="5"/>
  <c r="R31" i="4"/>
  <c r="G29" i="4"/>
  <c r="R41" i="3"/>
  <c r="R52" i="3" s="1"/>
  <c r="Q52" i="3"/>
  <c r="G50" i="3" s="1"/>
  <c r="H49" i="3"/>
  <c r="I49" i="3" s="1"/>
  <c r="I48" i="3"/>
  <c r="G5" i="5"/>
  <c r="L8" i="15"/>
  <c r="I48" i="16"/>
  <c r="H49" i="16"/>
  <c r="I49" i="16" s="1"/>
  <c r="I10" i="5"/>
  <c r="H11" i="5"/>
  <c r="I11" i="5" s="1"/>
  <c r="G26" i="16"/>
  <c r="D64" i="27"/>
  <c r="E64" i="27"/>
  <c r="G28" i="3"/>
  <c r="G9" i="16"/>
  <c r="Q31" i="16"/>
  <c r="L26" i="16" s="1"/>
  <c r="R29" i="16"/>
  <c r="R31" i="16" s="1"/>
  <c r="G7" i="16"/>
  <c r="W28" i="3"/>
  <c r="D19" i="26"/>
  <c r="M35" i="7"/>
  <c r="G42" i="4"/>
  <c r="F23" i="27"/>
  <c r="M18" i="7"/>
  <c r="U25" i="15"/>
  <c r="U26" i="15" s="1"/>
  <c r="U27" i="15" s="1"/>
  <c r="U28" i="15" s="1"/>
  <c r="U29" i="15" s="1"/>
  <c r="L18" i="7"/>
  <c r="U24" i="15"/>
  <c r="I46" i="15"/>
  <c r="H47" i="15"/>
  <c r="W28" i="16"/>
  <c r="M39" i="7"/>
  <c r="G25" i="16"/>
  <c r="G26" i="3"/>
  <c r="G28" i="5"/>
  <c r="K37" i="7"/>
  <c r="W26" i="5"/>
  <c r="G10" i="5"/>
  <c r="G9" i="5"/>
  <c r="L45" i="16"/>
  <c r="K38" i="7"/>
  <c r="W26" i="15"/>
  <c r="G6" i="16"/>
  <c r="L47" i="5"/>
  <c r="G45" i="5"/>
  <c r="G46" i="5"/>
  <c r="G47" i="5"/>
  <c r="G50" i="5"/>
  <c r="G49" i="5"/>
  <c r="G42" i="5"/>
  <c r="G41" i="5"/>
  <c r="G44" i="5"/>
  <c r="G26" i="5"/>
  <c r="R50" i="16"/>
  <c r="R52" i="16" s="1"/>
  <c r="Q52" i="16"/>
  <c r="L47" i="16" s="1"/>
  <c r="I46" i="5"/>
  <c r="H47" i="5"/>
  <c r="L47" i="4"/>
  <c r="G50" i="4"/>
  <c r="G41" i="4"/>
  <c r="G47" i="4"/>
  <c r="G28" i="16"/>
  <c r="G29" i="5"/>
  <c r="V25" i="5" l="1"/>
  <c r="V26" i="5" s="1"/>
  <c r="V27" i="5" s="1"/>
  <c r="V28" i="5" s="1"/>
  <c r="V29" i="5" s="1"/>
  <c r="M27" i="7"/>
  <c r="V24" i="5"/>
  <c r="L27" i="7"/>
  <c r="F45" i="27"/>
  <c r="B47" i="27"/>
  <c r="E47" i="27" s="1"/>
  <c r="G47" i="3"/>
  <c r="G43" i="16"/>
  <c r="B46" i="27"/>
  <c r="E46" i="27" s="1"/>
  <c r="G50" i="16"/>
  <c r="G45" i="16"/>
  <c r="H48" i="4"/>
  <c r="I47" i="4"/>
  <c r="G30" i="5"/>
  <c r="G51" i="4"/>
  <c r="G29" i="16"/>
  <c r="G30" i="16" s="1"/>
  <c r="U25" i="16"/>
  <c r="U26" i="16" s="1"/>
  <c r="U27" i="16" s="1"/>
  <c r="U28" i="16" s="1"/>
  <c r="U29" i="16" s="1"/>
  <c r="M19" i="7"/>
  <c r="L36" i="7"/>
  <c r="W27" i="4"/>
  <c r="G46" i="15"/>
  <c r="G13" i="3"/>
  <c r="G49" i="16"/>
  <c r="G30" i="4"/>
  <c r="G42" i="15"/>
  <c r="U24" i="16"/>
  <c r="L19" i="7"/>
  <c r="G13" i="4"/>
  <c r="D46" i="27"/>
  <c r="G48" i="16"/>
  <c r="G25" i="15"/>
  <c r="D47" i="27"/>
  <c r="F44" i="27"/>
  <c r="C24" i="26"/>
  <c r="L9" i="15"/>
  <c r="G8" i="15"/>
  <c r="G10" i="15"/>
  <c r="G24" i="15"/>
  <c r="G29" i="3"/>
  <c r="G30" i="3" s="1"/>
  <c r="L37" i="7"/>
  <c r="W27" i="5"/>
  <c r="G5" i="15"/>
  <c r="F64" i="27"/>
  <c r="G9" i="15"/>
  <c r="D20" i="26"/>
  <c r="B66" i="27" s="1"/>
  <c r="W29" i="3"/>
  <c r="N35" i="7"/>
  <c r="G44" i="3"/>
  <c r="U25" i="3"/>
  <c r="U26" i="3" s="1"/>
  <c r="U27" i="3" s="1"/>
  <c r="U28" i="3" s="1"/>
  <c r="U29" i="3" s="1"/>
  <c r="M15" i="7"/>
  <c r="B16" i="26"/>
  <c r="G48" i="15"/>
  <c r="G46" i="16"/>
  <c r="G41" i="16"/>
  <c r="G26" i="15"/>
  <c r="W30" i="3"/>
  <c r="O35" i="7"/>
  <c r="D21" i="26"/>
  <c r="B67" i="27" s="1"/>
  <c r="G13" i="16"/>
  <c r="G49" i="15"/>
  <c r="I47" i="5"/>
  <c r="H48" i="5"/>
  <c r="G51" i="5"/>
  <c r="G42" i="16"/>
  <c r="G7" i="15"/>
  <c r="I47" i="15"/>
  <c r="H48" i="15"/>
  <c r="G27" i="15"/>
  <c r="L47" i="3"/>
  <c r="G49" i="3"/>
  <c r="G45" i="3"/>
  <c r="G43" i="3"/>
  <c r="G46" i="3"/>
  <c r="G41" i="3"/>
  <c r="Q31" i="15"/>
  <c r="L26" i="15" s="1"/>
  <c r="R29" i="15"/>
  <c r="R31" i="15" s="1"/>
  <c r="G47" i="16"/>
  <c r="W27" i="15"/>
  <c r="L38" i="7"/>
  <c r="G48" i="3"/>
  <c r="L17" i="7"/>
  <c r="U24" i="5"/>
  <c r="G28" i="15"/>
  <c r="L47" i="15"/>
  <c r="G41" i="15"/>
  <c r="G50" i="15"/>
  <c r="G45" i="15"/>
  <c r="G43" i="15"/>
  <c r="G44" i="15"/>
  <c r="E24" i="27"/>
  <c r="D24" i="27"/>
  <c r="B25" i="27"/>
  <c r="G6" i="15"/>
  <c r="G13" i="5"/>
  <c r="B15" i="26"/>
  <c r="L15" i="7"/>
  <c r="U24" i="3"/>
  <c r="M17" i="7"/>
  <c r="U25" i="5"/>
  <c r="U26" i="5" s="1"/>
  <c r="U27" i="5" s="1"/>
  <c r="U28" i="5" s="1"/>
  <c r="U29" i="5" s="1"/>
  <c r="G44" i="16"/>
  <c r="G42" i="3"/>
  <c r="W30" i="16"/>
  <c r="O39" i="7"/>
  <c r="G11" i="15"/>
  <c r="B65" i="27"/>
  <c r="W29" i="16"/>
  <c r="N39" i="7"/>
  <c r="G29" i="15" l="1"/>
  <c r="G30" i="15" s="1"/>
  <c r="F46" i="27"/>
  <c r="G51" i="3"/>
  <c r="G51" i="16"/>
  <c r="B27" i="27"/>
  <c r="W28" i="4"/>
  <c r="M36" i="7"/>
  <c r="I48" i="4"/>
  <c r="H49" i="4"/>
  <c r="I49" i="4" s="1"/>
  <c r="D24" i="26"/>
  <c r="F47" i="27"/>
  <c r="E27" i="27"/>
  <c r="D27" i="27"/>
  <c r="F27" i="27" s="1"/>
  <c r="G51" i="15"/>
  <c r="I48" i="5"/>
  <c r="H49" i="5"/>
  <c r="I49" i="5" s="1"/>
  <c r="W28" i="15"/>
  <c r="M38" i="7"/>
  <c r="D66" i="27"/>
  <c r="E66" i="27"/>
  <c r="E65" i="27"/>
  <c r="D65" i="27"/>
  <c r="E25" i="27"/>
  <c r="D25" i="27"/>
  <c r="B24" i="26"/>
  <c r="E67" i="27"/>
  <c r="D67" i="27"/>
  <c r="G13" i="15"/>
  <c r="M37" i="7"/>
  <c r="W28" i="5"/>
  <c r="F24" i="27"/>
  <c r="I48" i="15"/>
  <c r="H49" i="15"/>
  <c r="I49" i="15" s="1"/>
  <c r="B26" i="27"/>
  <c r="F65" i="27" l="1"/>
  <c r="F67" i="27"/>
  <c r="F66" i="27"/>
  <c r="W30" i="4"/>
  <c r="O36" i="7"/>
  <c r="N36" i="7"/>
  <c r="W29" i="4"/>
  <c r="F25" i="27"/>
  <c r="W30" i="5"/>
  <c r="O37" i="7"/>
  <c r="D26" i="27"/>
  <c r="E26" i="27"/>
  <c r="W30" i="15"/>
  <c r="O38" i="7"/>
  <c r="N38" i="7"/>
  <c r="W29" i="15"/>
  <c r="N37" i="7"/>
  <c r="W29" i="5"/>
  <c r="F26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5" authorId="0" shapeId="0" xr:uid="{00000000-0006-0000-07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5" authorId="0" shapeId="0" xr:uid="{00000000-0006-0000-07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6" authorId="0" shapeId="0" xr:uid="{00000000-0006-0000-07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6" authorId="0" shapeId="0" xr:uid="{00000000-0006-0000-07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7" authorId="0" shapeId="0" xr:uid="{00000000-0006-0000-07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7" authorId="0" shapeId="0" xr:uid="{00000000-0006-0000-0700-000006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8" authorId="0" shapeId="0" xr:uid="{00000000-0006-0000-0700-00000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8" authorId="0" shapeId="0" xr:uid="{00000000-0006-0000-07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9" authorId="0" shapeId="0" xr:uid="{00000000-0006-0000-07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9" authorId="0" shapeId="0" xr:uid="{00000000-0006-0000-07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0" authorId="0" shapeId="0" xr:uid="{00000000-0006-0000-07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1" authorId="0" shapeId="0" xr:uid="{00000000-0006-0000-07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4" authorId="0" shapeId="0" xr:uid="{00000000-0006-0000-0700-00000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2" authorId="0" shapeId="0" xr:uid="{00000000-0006-0000-0700-00000E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2" authorId="0" shapeId="0" xr:uid="{00000000-0006-0000-0700-00000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0000000-0006-0000-0700-00001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3" authorId="0" shapeId="0" xr:uid="{00000000-0006-0000-0700-00001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59DD4127-0C2D-456A-B6C3-241949AC3901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4" authorId="0" shapeId="0" xr:uid="{00000000-0006-0000-0700-00001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B0E15031-F84A-4641-BD66-0F7DE8C8943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5" authorId="0" shapeId="0" xr:uid="{00000000-0006-0000-0700-00001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BAFC8B58-DA80-4DC0-995E-6401D15C09BC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26" authorId="0" shapeId="0" xr:uid="{00000000-0006-0000-0700-00001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840B55B9-7C9E-4087-81C9-14288887277B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CD5E1A66-D431-4A17-965A-31A739DCEAB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5877CE2B-720E-4A5A-B5EB-8E6A3561F4F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700-00001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700-00001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3" authorId="0" shapeId="0" xr:uid="{00000000-0006-0000-0700-00001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700-00001E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4" authorId="0" shapeId="0" xr:uid="{00000000-0006-0000-0700-00001F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5" authorId="0" shapeId="0" xr:uid="{00000000-0006-0000-0700-000020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700-00002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6" authorId="0" shapeId="0" xr:uid="{00000000-0006-0000-0700-00002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K47" authorId="0" shapeId="0" xr:uid="{00000000-0006-0000-0700-00002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700-00002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5" authorId="0" shapeId="0" xr:uid="{00000000-0006-0000-08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6" authorId="0" shapeId="0" xr:uid="{00000000-0006-0000-08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7" authorId="0" shapeId="0" xr:uid="{00000000-0006-0000-08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8" authorId="0" shapeId="0" xr:uid="{00000000-0006-0000-08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9" authorId="0" shapeId="0" xr:uid="{00000000-0006-0000-08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0" authorId="0" shapeId="0" xr:uid="{00000000-0006-0000-0800-000006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1" authorId="0" shapeId="0" xr:uid="{00000000-0006-0000-0800-000007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14" authorId="0" shapeId="0" xr:uid="{00000000-0006-0000-0800-000008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2" authorId="0" shapeId="0" xr:uid="{ABE8FB2C-E904-4E26-B7A3-7AF4FEF97A0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0C79D2A0-AB9D-46F2-B119-B35AB291E081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DC69CEA5-21DF-4DE5-8822-C7232DB53875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0D37E535-5850-4D01-BEB0-AC5C206DCF1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EAC2BB55-69AD-4189-A660-4C021B2A4FD2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77C605D4-0843-4700-AA8B-5D1051A0548E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8320C607-AD0C-46AD-9A29-54D2A144A59C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37BE5520-1B7C-40C9-8C7A-889A71C4476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800-000009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800-00000A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800-00000B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800-00000C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800-00000D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DA41CD1B-7BDE-4FF5-A32D-FEB1B22CF60D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65C2B9A4-C94C-4443-AFCE-DAF8AE3BC55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64ED0EC1-2179-46F8-B372-F55382A8545B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10F53188-3D87-4AF3-B42E-2310C30934CA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686817DE-8229-4B5E-BABC-5AA87906621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C965F1EC-A1BB-495F-AF13-426A4D20FAFE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6489996F-9DA9-441A-838B-70550D6C55B5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D40D3AEF-4490-4E1C-B0A0-3A21AC42B7A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9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9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9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9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9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A1832213-2E73-4974-9039-0B993FC727B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894F8FCA-9D6A-4169-B783-EB76AF581F4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41373EA1-EA6A-45FB-B13F-DD5DC9920A87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B898816C-4F84-486A-AB2A-48FFDAA785C5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D28F20DB-35D5-417D-8E39-2D274449581B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C9F61A37-3FFD-47E0-A981-BDDE4B7AD3DF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780F97F2-65BE-4AAC-B1C5-C366DD1C524E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BB83E9D3-02BB-468C-A7AC-4E097893B56C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A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A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A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A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A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J22" authorId="0" shapeId="0" xr:uid="{C508767E-B46E-41FF-AA2D-BBED5C441814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3" authorId="0" shapeId="0" xr:uid="{D3A368DB-A6FA-4FAD-B76D-ECC675F89F4B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4" authorId="0" shapeId="0" xr:uid="{DD73937A-E8E2-4416-B2D3-66F9BE957283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5" authorId="0" shapeId="0" xr:uid="{3B71E036-1589-482A-B3C3-06C51CBB90C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6" authorId="0" shapeId="0" xr:uid="{834EC988-2A0B-43A0-936D-BF19B9E0D1FF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7" authorId="0" shapeId="0" xr:uid="{0BCEED34-EB9D-4508-82E6-1E35AED2662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28" authorId="0" shapeId="0" xr:uid="{E9E1C6E9-A2E4-4022-A2F7-6A132B5E95EE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31" authorId="0" shapeId="0" xr:uid="{03C47E1C-64A2-48BC-9BC0-187023A8C5C9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2" authorId="0" shapeId="0" xr:uid="{00000000-0006-0000-0B00-000001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3" authorId="0" shapeId="0" xr:uid="{00000000-0006-0000-0B00-000002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4" authorId="0" shapeId="0" xr:uid="{00000000-0006-0000-0B00-000003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6" authorId="0" shapeId="0" xr:uid="{00000000-0006-0000-0B00-000004000000}">
      <text>
        <r>
          <rPr>
            <sz val="8"/>
            <color indexed="81"/>
            <rFont val="Tahoma"/>
            <family val="2"/>
          </rPr>
          <t>Formula failed to convert</t>
        </r>
      </text>
    </comment>
    <comment ref="J49" authorId="0" shapeId="0" xr:uid="{00000000-0006-0000-0B00-000005000000}">
      <text>
        <r>
          <rPr>
            <sz val="8"/>
            <color indexed="81"/>
            <rFont val="Tahoma"/>
            <family val="2"/>
          </rPr>
          <t>Formula failed to convert</t>
        </r>
      </text>
    </comment>
  </commentList>
</comments>
</file>

<file path=xl/sharedStrings.xml><?xml version="1.0" encoding="utf-8"?>
<sst xmlns="http://schemas.openxmlformats.org/spreadsheetml/2006/main" count="1790" uniqueCount="564">
  <si>
    <t xml:space="preserve">Report No.:  </t>
  </si>
  <si>
    <t xml:space="preserve">Date This Report:  </t>
  </si>
  <si>
    <t xml:space="preserve">Date Last Report:  </t>
  </si>
  <si>
    <t xml:space="preserve">Project No.:  </t>
  </si>
  <si>
    <t xml:space="preserve">Mix ID:  </t>
  </si>
  <si>
    <t xml:space="preserve">Plant Name and Location:  </t>
  </si>
  <si>
    <t xml:space="preserve">Contractor:  </t>
  </si>
  <si>
    <t xml:space="preserve">Contract ID:  </t>
  </si>
  <si>
    <t xml:space="preserve">County:  </t>
  </si>
  <si>
    <t xml:space="preserve">Coarse Aggregate    T-203 A #:  </t>
  </si>
  <si>
    <t xml:space="preserve">Fine Aggregate   T-203 A #:  </t>
  </si>
  <si>
    <t xml:space="preserve">Plant Monitor's Name:  </t>
  </si>
  <si>
    <t xml:space="preserve">Plant Monitor's Certification No.:  </t>
  </si>
  <si>
    <t>Coarse</t>
  </si>
  <si>
    <t>Intermediate</t>
  </si>
  <si>
    <t>Fine</t>
  </si>
  <si>
    <t>Aggregate</t>
  </si>
  <si>
    <t>#200</t>
  </si>
  <si>
    <t xml:space="preserve">Project No.: </t>
  </si>
  <si>
    <t xml:space="preserve">Contract ID: </t>
  </si>
  <si>
    <t xml:space="preserve">Report No.: </t>
  </si>
  <si>
    <t xml:space="preserve">Plant Name: </t>
  </si>
  <si>
    <t xml:space="preserve">County: </t>
  </si>
  <si>
    <t xml:space="preserve">Date This Report: </t>
  </si>
  <si>
    <t xml:space="preserve">Date Of Last Report: </t>
  </si>
  <si>
    <t>Central</t>
  </si>
  <si>
    <t>Paving</t>
  </si>
  <si>
    <t>Total</t>
  </si>
  <si>
    <t>Remarks</t>
  </si>
  <si>
    <t xml:space="preserve">Monitor: </t>
  </si>
  <si>
    <t>COARSE   SAMPLE</t>
  </si>
  <si>
    <t xml:space="preserve">   Sieve Accuracy= </t>
  </si>
  <si>
    <t>%</t>
  </si>
  <si>
    <t>% Retd.</t>
  </si>
  <si>
    <t>% Pass</t>
  </si>
  <si>
    <t>% Final</t>
  </si>
  <si>
    <t>Specs</t>
  </si>
  <si>
    <t>W</t>
  </si>
  <si>
    <t>A</t>
  </si>
  <si>
    <t xml:space="preserve">  Pan   </t>
  </si>
  <si>
    <t>S</t>
  </si>
  <si>
    <t xml:space="preserve">  Wash Loss   </t>
  </si>
  <si>
    <t>H</t>
  </si>
  <si>
    <t xml:space="preserve">  Total   </t>
  </si>
  <si>
    <t>INTERMEDIATE   SAMPLE</t>
  </si>
  <si>
    <t xml:space="preserve">Sieve Accuracy= </t>
  </si>
  <si>
    <t>FINE  SAMPLE</t>
  </si>
  <si>
    <t xml:space="preserve">   Pan  </t>
  </si>
  <si>
    <t xml:space="preserve">   Wash  </t>
  </si>
  <si>
    <t xml:space="preserve">Structures Design Number :  </t>
  </si>
  <si>
    <t>Comply</t>
  </si>
  <si>
    <t>Y/N</t>
  </si>
  <si>
    <t>Ready</t>
  </si>
  <si>
    <t>Structure</t>
  </si>
  <si>
    <t>Incidental</t>
  </si>
  <si>
    <t>Patching</t>
  </si>
  <si>
    <t>Check Mix( x )</t>
  </si>
  <si>
    <t>Check One( x )</t>
  </si>
  <si>
    <t>1 1/2"</t>
  </si>
  <si>
    <t>1"</t>
  </si>
  <si>
    <t>3/4"</t>
  </si>
  <si>
    <t>1/2"</t>
  </si>
  <si>
    <t>3/8"</t>
  </si>
  <si>
    <t>#4</t>
  </si>
  <si>
    <t>#8</t>
  </si>
  <si>
    <t>#16</t>
  </si>
  <si>
    <t>#30</t>
  </si>
  <si>
    <t>#50</t>
  </si>
  <si>
    <t>#100</t>
  </si>
  <si>
    <t>Grad 1</t>
  </si>
  <si>
    <t>Grad 2</t>
  </si>
  <si>
    <t>Grad 3</t>
  </si>
  <si>
    <t>GRADATION 1</t>
  </si>
  <si>
    <t>ENTER</t>
  </si>
  <si>
    <t>Volume of Coarse Aggregate per Cubic Yard</t>
  </si>
  <si>
    <t>Volume of Intermediate Aggregate per Cubic Yard</t>
  </si>
  <si>
    <t>Volume of Fine Aggregate per Cubic Yard</t>
  </si>
  <si>
    <t>Combined</t>
  </si>
  <si>
    <t>CDM</t>
  </si>
  <si>
    <t>Sieve</t>
  </si>
  <si>
    <t>Gradation</t>
  </si>
  <si>
    <t>Target</t>
  </si>
  <si>
    <t>Minimum</t>
  </si>
  <si>
    <t>Maximum</t>
  </si>
  <si>
    <t>Within</t>
  </si>
  <si>
    <t>Size</t>
  </si>
  <si>
    <t>Percent</t>
  </si>
  <si>
    <t>Passing</t>
  </si>
  <si>
    <t>1.5"</t>
  </si>
  <si>
    <t>Gradation 2</t>
  </si>
  <si>
    <t>Gradation 3</t>
  </si>
  <si>
    <t xml:space="preserve">Intermediate Aggregate    T-203 A #:  </t>
  </si>
  <si>
    <t>NA</t>
  </si>
  <si>
    <t xml:space="preserve">Contractor: </t>
  </si>
  <si>
    <t xml:space="preserve">Structures Des. No: </t>
  </si>
  <si>
    <t xml:space="preserve">Coarse Aggregate Source:  </t>
  </si>
  <si>
    <t xml:space="preserve">Intermediate Aggregate Source:  </t>
  </si>
  <si>
    <t xml:space="preserve">Fine Aggregate Source:  </t>
  </si>
  <si>
    <t>3, 4, 5, 6, or Blank</t>
  </si>
  <si>
    <t>1, 7, or Blank</t>
  </si>
  <si>
    <t>37.5 mm</t>
  </si>
  <si>
    <t>19 mm</t>
  </si>
  <si>
    <t>12.5 mm</t>
  </si>
  <si>
    <t>25 mm</t>
  </si>
  <si>
    <t>9.5 mm</t>
  </si>
  <si>
    <t>4.75 mm</t>
  </si>
  <si>
    <t>2.36 mm</t>
  </si>
  <si>
    <t>75 um</t>
  </si>
  <si>
    <t>1.18 mm</t>
  </si>
  <si>
    <t>600 um</t>
  </si>
  <si>
    <t>300 um</t>
  </si>
  <si>
    <t>150 um</t>
  </si>
  <si>
    <t>Date Sampled</t>
  </si>
  <si>
    <t>Sample ID</t>
  </si>
  <si>
    <t>Agg %</t>
  </si>
  <si>
    <t>Target Gradation</t>
  </si>
  <si>
    <t>FINE AGGREGATE</t>
  </si>
  <si>
    <t>INTERMEDIATE AGGREGATE</t>
  </si>
  <si>
    <t>COARSE AGGREGATE</t>
  </si>
  <si>
    <t>COMBINED AGGREGATE GRADATION</t>
  </si>
  <si>
    <t>AGG %</t>
  </si>
  <si>
    <t>Coarse
ness
Factor</t>
  </si>
  <si>
    <t>Work
ability 
Factor</t>
  </si>
  <si>
    <t>QMC 
PAY
ZONE</t>
  </si>
  <si>
    <t>Lot Average - VERIFICATION</t>
  </si>
  <si>
    <t>Lot Average - CONTRACTOR</t>
  </si>
  <si>
    <t>Gradation 1</t>
  </si>
  <si>
    <t>Gradation 4</t>
  </si>
  <si>
    <t>Gradation 5</t>
  </si>
  <si>
    <t>CF</t>
  </si>
  <si>
    <t>WF</t>
  </si>
  <si>
    <t>GRADATION 2</t>
  </si>
  <si>
    <t>GRADATION 3</t>
  </si>
  <si>
    <t>GRADATION 4</t>
  </si>
  <si>
    <t>GRADATION 5</t>
  </si>
  <si>
    <t>PCC GRADATION TEST REPORT - VERIFICATION</t>
  </si>
  <si>
    <t>Distribution:     _____   DME     _____   Proj. Eng.     _____   Contractor</t>
  </si>
  <si>
    <t>821283 COMPUTER</t>
  </si>
  <si>
    <t xml:space="preserve">   Sieve Accuracy = </t>
  </si>
  <si>
    <t xml:space="preserve">Sieve Accuracy = </t>
  </si>
  <si>
    <t xml:space="preserve">SOURCE: </t>
  </si>
  <si>
    <t xml:space="preserve">T-203 A# </t>
  </si>
  <si>
    <t xml:space="preserve">GRAD NO.: </t>
  </si>
  <si>
    <t xml:space="preserve">Mix ID: </t>
  </si>
  <si>
    <t xml:space="preserve">Orig. Dry Weight:  </t>
  </si>
  <si>
    <t xml:space="preserve">Proj. No.:  </t>
  </si>
  <si>
    <t xml:space="preserve">Sample ID:  </t>
  </si>
  <si>
    <t xml:space="preserve">Compies (Y/N)  </t>
  </si>
  <si>
    <t xml:space="preserve">Central Plant (X):  </t>
  </si>
  <si>
    <t xml:space="preserve">Ready Mix (X):  </t>
  </si>
  <si>
    <t xml:space="preserve">Paving (X):  </t>
  </si>
  <si>
    <t xml:space="preserve">Structural (X):  </t>
  </si>
  <si>
    <t xml:space="preserve">Incidental (X):  </t>
  </si>
  <si>
    <t xml:space="preserve">Patching (X):  </t>
  </si>
  <si>
    <t xml:space="preserve">Report Weekly (X):  </t>
  </si>
  <si>
    <t xml:space="preserve">Coarse Aggregate Gradation No. :  </t>
  </si>
  <si>
    <t xml:space="preserve">Fine Aggregate Gradation No. :  </t>
  </si>
  <si>
    <t xml:space="preserve">C.A. Specification Limits 1 1/2" Sieve:  </t>
  </si>
  <si>
    <t xml:space="preserve">C.A. Specification Limits 1" Sieve:  </t>
  </si>
  <si>
    <t xml:space="preserve">C.A. Specification Limits 3/4" Sieve:  </t>
  </si>
  <si>
    <t xml:space="preserve">C.A. Specification Limits 1/2" Sieve:  </t>
  </si>
  <si>
    <t xml:space="preserve">C.A. Specification Limits 3/8" Sieve:  </t>
  </si>
  <si>
    <t xml:space="preserve">C.A. Specification Limits #4 Sieve:  </t>
  </si>
  <si>
    <t xml:space="preserve">C.A. Specification Limits #8 Sieve:  </t>
  </si>
  <si>
    <t xml:space="preserve">C.A. Specification Limits #200 Sieve:  </t>
  </si>
  <si>
    <t xml:space="preserve">F.A. Specification Limits 3/8" Sieve:  </t>
  </si>
  <si>
    <t xml:space="preserve">F.A. Specification Limits #4 Sieve:  </t>
  </si>
  <si>
    <t xml:space="preserve">F.A. Specification Limits #8 Sieve:  </t>
  </si>
  <si>
    <t xml:space="preserve">F.A. Specification Limits #30 Sieve:  </t>
  </si>
  <si>
    <t xml:space="preserve">F.A. Specification Limits #200 Sieve:  </t>
  </si>
  <si>
    <t xml:space="preserve">Contractor CF (QMC):  </t>
  </si>
  <si>
    <t xml:space="preserve">Contractor Lot Pay Zone:  </t>
  </si>
  <si>
    <t>A-2</t>
  </si>
  <si>
    <t>A-3</t>
  </si>
  <si>
    <t>A-4</t>
  </si>
  <si>
    <t>A-5</t>
  </si>
  <si>
    <t>A-6</t>
  </si>
  <si>
    <t>A-V</t>
  </si>
  <si>
    <t>A-V47B</t>
  </si>
  <si>
    <t>B-2</t>
  </si>
  <si>
    <t>B-3</t>
  </si>
  <si>
    <t>B-4</t>
  </si>
  <si>
    <t>B-5</t>
  </si>
  <si>
    <t>B-6</t>
  </si>
  <si>
    <t>B-7</t>
  </si>
  <si>
    <t>B-8</t>
  </si>
  <si>
    <t>BR</t>
  </si>
  <si>
    <t>B-V</t>
  </si>
  <si>
    <t>B-V47B</t>
  </si>
  <si>
    <t>C-2</t>
  </si>
  <si>
    <t>C-3</t>
  </si>
  <si>
    <t>C-3WR</t>
  </si>
  <si>
    <t>C-4</t>
  </si>
  <si>
    <t>C-4WR</t>
  </si>
  <si>
    <t>C-5</t>
  </si>
  <si>
    <t>C-5WR</t>
  </si>
  <si>
    <t>C-6</t>
  </si>
  <si>
    <t>C-6WR</t>
  </si>
  <si>
    <t>C-V47B</t>
  </si>
  <si>
    <t>C-V47BF</t>
  </si>
  <si>
    <t>CV-HPC-D</t>
  </si>
  <si>
    <t>CV-HPC-S</t>
  </si>
  <si>
    <t>D-57</t>
  </si>
  <si>
    <t>D-57-6</t>
  </si>
  <si>
    <t>HPC-D</t>
  </si>
  <si>
    <t>HPC-S</t>
  </si>
  <si>
    <t>M-3</t>
  </si>
  <si>
    <t>M-4</t>
  </si>
  <si>
    <t>M-V</t>
  </si>
  <si>
    <t>O-4WR</t>
  </si>
  <si>
    <t>QMC</t>
  </si>
  <si>
    <t>Cert No.</t>
  </si>
  <si>
    <t>Rev  01/98</t>
  </si>
  <si>
    <t>Plantinf</t>
  </si>
  <si>
    <t>Plant  Information  Sheet</t>
  </si>
  <si>
    <t xml:space="preserve">Project  No.: </t>
  </si>
  <si>
    <t xml:space="preserve">Contract ID.: </t>
  </si>
  <si>
    <t xml:space="preserve">Prime Contractor: </t>
  </si>
  <si>
    <t xml:space="preserve">Plant Type: </t>
  </si>
  <si>
    <t xml:space="preserve">Plant Location: </t>
  </si>
  <si>
    <t xml:space="preserve">Pollution Control: </t>
  </si>
  <si>
    <t xml:space="preserve">Storm Water Permit No.: </t>
  </si>
  <si>
    <t xml:space="preserve">Date Calibrated: </t>
  </si>
  <si>
    <t xml:space="preserve">By: </t>
  </si>
  <si>
    <t>Material  Sources</t>
  </si>
  <si>
    <t>Phone No.</t>
  </si>
  <si>
    <t>Fax No.</t>
  </si>
  <si>
    <t xml:space="preserve">Plant Superintendent: </t>
  </si>
  <si>
    <t xml:space="preserve">Certified Plant Inspector: </t>
  </si>
  <si>
    <t xml:space="preserve">Certification No.: </t>
  </si>
  <si>
    <t xml:space="preserve">Certified Plant Monitor: </t>
  </si>
  <si>
    <t xml:space="preserve">Project Engineer: </t>
  </si>
  <si>
    <t xml:space="preserve">Project Manager: </t>
  </si>
  <si>
    <t xml:space="preserve">Project Inspector: </t>
  </si>
  <si>
    <t xml:space="preserve">Materials Inspector: </t>
  </si>
  <si>
    <t xml:space="preserve">Resident Auditor: </t>
  </si>
  <si>
    <t xml:space="preserve">TC Auditor: </t>
  </si>
  <si>
    <t xml:space="preserve">Page No.: </t>
  </si>
  <si>
    <t>Cement &amp; Fly Ash</t>
  </si>
  <si>
    <t>Sampling</t>
  </si>
  <si>
    <t>Concrete</t>
  </si>
  <si>
    <t>Stockpiles</t>
  </si>
  <si>
    <t>&amp; Testing</t>
  </si>
  <si>
    <t>Test</t>
  </si>
  <si>
    <t>Test  Equipment</t>
  </si>
  <si>
    <t>Documentation</t>
  </si>
  <si>
    <t>P</t>
  </si>
  <si>
    <t>I</t>
  </si>
  <si>
    <t>C</t>
  </si>
  <si>
    <t>D</t>
  </si>
  <si>
    <t>G</t>
  </si>
  <si>
    <t>M</t>
  </si>
  <si>
    <t>F</t>
  </si>
  <si>
    <t>B</t>
  </si>
  <si>
    <t>T</t>
  </si>
  <si>
    <t>Q</t>
  </si>
  <si>
    <t>r</t>
  </si>
  <si>
    <t>n</t>
  </si>
  <si>
    <t>o</t>
  </si>
  <si>
    <t>e</t>
  </si>
  <si>
    <t>p</t>
  </si>
  <si>
    <t>u</t>
  </si>
  <si>
    <t>l</t>
  </si>
  <si>
    <t>c</t>
  </si>
  <si>
    <t>d</t>
  </si>
  <si>
    <t>i</t>
  </si>
  <si>
    <t>a</t>
  </si>
  <si>
    <t>y</t>
  </si>
  <si>
    <t>h</t>
  </si>
  <si>
    <t>t</t>
  </si>
  <si>
    <t>g</t>
  </si>
  <si>
    <t>m</t>
  </si>
  <si>
    <t>x</t>
  </si>
  <si>
    <t>s</t>
  </si>
  <si>
    <t>v</t>
  </si>
  <si>
    <t>k</t>
  </si>
  <si>
    <t>f</t>
  </si>
  <si>
    <t>E</t>
  </si>
  <si>
    <t>R</t>
  </si>
  <si>
    <t>O</t>
  </si>
  <si>
    <t>.</t>
  </si>
  <si>
    <t>Date</t>
  </si>
  <si>
    <t>By:</t>
  </si>
  <si>
    <t xml:space="preserve">Complies </t>
  </si>
  <si>
    <t>=</t>
  </si>
  <si>
    <t>Y</t>
  </si>
  <si>
    <t>Discrepancy</t>
  </si>
  <si>
    <t>Refer  To  Daily  Diary  For  Discrepancies.</t>
  </si>
  <si>
    <t>Not Applicable</t>
  </si>
  <si>
    <t>Rev 01/98</t>
  </si>
  <si>
    <t>Form  E210</t>
  </si>
  <si>
    <t>Plant  Site  Inspection  List ( PCC )</t>
  </si>
  <si>
    <t>Complies</t>
  </si>
  <si>
    <t>Checked</t>
  </si>
  <si>
    <t>Item</t>
  </si>
  <si>
    <t>Yes</t>
  </si>
  <si>
    <t>No</t>
  </si>
  <si>
    <t>By</t>
  </si>
  <si>
    <t>Bins</t>
  </si>
  <si>
    <t>Bin Dividers</t>
  </si>
  <si>
    <t>Bin Supports</t>
  </si>
  <si>
    <t>Screens</t>
  </si>
  <si>
    <t>Guards</t>
  </si>
  <si>
    <t>Ladders</t>
  </si>
  <si>
    <t>Railings</t>
  </si>
  <si>
    <t>Belt  Lockouts</t>
  </si>
  <si>
    <t>Sampling Location</t>
  </si>
  <si>
    <t>Aggregate Scales</t>
  </si>
  <si>
    <t>Cement Scales</t>
  </si>
  <si>
    <t>Fly Ash Scales</t>
  </si>
  <si>
    <t>Admixture Dispensers</t>
  </si>
  <si>
    <t>Water Meter</t>
  </si>
  <si>
    <t>Cement Storage</t>
  </si>
  <si>
    <t>Fly Ash Storage</t>
  </si>
  <si>
    <t>Mixing Equipment</t>
  </si>
  <si>
    <t>Lab Location</t>
  </si>
  <si>
    <t>Lab Condition</t>
  </si>
  <si>
    <t>Lab Equipment</t>
  </si>
  <si>
    <t>Air  Condition</t>
  </si>
  <si>
    <t>Heating</t>
  </si>
  <si>
    <t>Telephone</t>
  </si>
  <si>
    <t>Water</t>
  </si>
  <si>
    <t>Exhaust Fan</t>
  </si>
  <si>
    <t>Restroom</t>
  </si>
  <si>
    <t>Fax Machine</t>
  </si>
  <si>
    <t>Computer</t>
  </si>
  <si>
    <t>If an item does not apply to the project, write ( not applicable ) in the remarks column.</t>
  </si>
  <si>
    <t>PC Concrete Beam Record</t>
  </si>
  <si>
    <t>Form  E114</t>
  </si>
  <si>
    <t xml:space="preserve"> Item Code: </t>
  </si>
  <si>
    <t xml:space="preserve">Description: </t>
  </si>
  <si>
    <t xml:space="preserve">Category No.: </t>
  </si>
  <si>
    <t>Beams Made Information</t>
  </si>
  <si>
    <t>Beam Break Information</t>
  </si>
  <si>
    <t>Indicated</t>
  </si>
  <si>
    <t>Actual</t>
  </si>
  <si>
    <t>Mod. Of</t>
  </si>
  <si>
    <t>Mix</t>
  </si>
  <si>
    <t>Beam</t>
  </si>
  <si>
    <t>Air</t>
  </si>
  <si>
    <t>Slump</t>
  </si>
  <si>
    <t>W/C</t>
  </si>
  <si>
    <t>Age</t>
  </si>
  <si>
    <t>Loc.</t>
  </si>
  <si>
    <t>Depth</t>
  </si>
  <si>
    <t>Width</t>
  </si>
  <si>
    <t>Load</t>
  </si>
  <si>
    <t>Comp.</t>
  </si>
  <si>
    <t>Rupture</t>
  </si>
  <si>
    <t>Spec.</t>
  </si>
  <si>
    <t>Made</t>
  </si>
  <si>
    <t>Number</t>
  </si>
  <si>
    <t>No.</t>
  </si>
  <si>
    <t>Time</t>
  </si>
  <si>
    <t>(in)</t>
  </si>
  <si>
    <t>Ratio</t>
  </si>
  <si>
    <t>(Days)</t>
  </si>
  <si>
    <t>( in )</t>
  </si>
  <si>
    <t>( lbs )</t>
  </si>
  <si>
    <t>Factor</t>
  </si>
  <si>
    <t>( psi )</t>
  </si>
  <si>
    <t>psi</t>
  </si>
  <si>
    <t xml:space="preserve">Checked By: </t>
  </si>
  <si>
    <t xml:space="preserve">Daily  3  </t>
  </si>
  <si>
    <t xml:space="preserve">Date: </t>
  </si>
  <si>
    <t xml:space="preserve">Sunrise: </t>
  </si>
  <si>
    <t xml:space="preserve">High: </t>
  </si>
  <si>
    <t xml:space="preserve">Day: </t>
  </si>
  <si>
    <t xml:space="preserve">Sunset: </t>
  </si>
  <si>
    <t xml:space="preserve">Low: </t>
  </si>
  <si>
    <t xml:space="preserve">Weather: </t>
  </si>
  <si>
    <t>Daily  4</t>
  </si>
  <si>
    <t>D.O.T.</t>
  </si>
  <si>
    <t>Prod. / C.P.I.</t>
  </si>
  <si>
    <t>1.5" / 37.5mm</t>
  </si>
  <si>
    <t>1" / 25.0mm</t>
  </si>
  <si>
    <t>3/4" / 19.0mm</t>
  </si>
  <si>
    <t>1/2" / 12.5mm</t>
  </si>
  <si>
    <t>3/8" / 9.5mm</t>
  </si>
  <si>
    <t>#4 / 4.75mm</t>
  </si>
  <si>
    <t>#8 / 2.36mm</t>
  </si>
  <si>
    <t>#16 / 1.18mm</t>
  </si>
  <si>
    <t>#30 / 600um</t>
  </si>
  <si>
    <t>#50 / 300um</t>
  </si>
  <si>
    <t>#100 / 150um</t>
  </si>
  <si>
    <t>#200 / 75um</t>
  </si>
  <si>
    <t>Retained Totals (100.0%)</t>
  </si>
  <si>
    <t>Comments:</t>
  </si>
  <si>
    <t xml:space="preserve"> </t>
  </si>
  <si>
    <t>cc:</t>
  </si>
  <si>
    <t>DME, RCE</t>
  </si>
  <si>
    <t>Project No.:</t>
  </si>
  <si>
    <t>Contract ID:</t>
  </si>
  <si>
    <t>Date Sampled:</t>
  </si>
  <si>
    <t>Plant Name:</t>
  </si>
  <si>
    <t>County:</t>
  </si>
  <si>
    <t>Gradation Date:</t>
  </si>
  <si>
    <t>Contractor:</t>
  </si>
  <si>
    <t>Mix Design Number:</t>
  </si>
  <si>
    <t xml:space="preserve">Design No.: </t>
  </si>
  <si>
    <t>Coarse Agg. Source:</t>
  </si>
  <si>
    <t>Intermediate Agg. Source:</t>
  </si>
  <si>
    <t>Fine Agg. Source:</t>
  </si>
  <si>
    <t>Monitor:</t>
  </si>
  <si>
    <t>Cert. No.:</t>
  </si>
  <si>
    <t xml:space="preserve">Proper Equipment: </t>
  </si>
  <si>
    <t>C.P.I.:</t>
  </si>
  <si>
    <t xml:space="preserve">Specification: </t>
  </si>
  <si>
    <t>D.O.T. Coarse Aggregate Percent Retained</t>
  </si>
  <si>
    <t>Prod. / C. P. I. Coarse Aggregate Percent Retained</t>
  </si>
  <si>
    <t>Fraction Difference</t>
  </si>
  <si>
    <t>Applicable Tolerance</t>
  </si>
  <si>
    <t>Minus #200</t>
  </si>
  <si>
    <t>D.O.T. Intermediate Aggregate Percent Retained</t>
  </si>
  <si>
    <t>Prod. / C. P. I. Intermediate Aggregate Percent Retained</t>
  </si>
  <si>
    <t>D.O.T. Fine Aggregate Percent Retained</t>
  </si>
  <si>
    <t>Prod. / C. P. I. Fine Aggregate Percent Retained</t>
  </si>
  <si>
    <t>Care of Equipment</t>
  </si>
  <si>
    <t xml:space="preserve">Comments: </t>
  </si>
  <si>
    <t>Sampling Procedure</t>
  </si>
  <si>
    <t>Splitting Procedure</t>
  </si>
  <si>
    <t>Sieving to Completion</t>
  </si>
  <si>
    <t>Computations</t>
  </si>
  <si>
    <t>Reporting</t>
  </si>
  <si>
    <t xml:space="preserve">CPI Name:  </t>
  </si>
  <si>
    <t xml:space="preserve">CPI Cert No.:  </t>
  </si>
  <si>
    <t>Good</t>
  </si>
  <si>
    <t>Fair</t>
  </si>
  <si>
    <t>Poor</t>
  </si>
  <si>
    <t xml:space="preserve">Specification:  </t>
  </si>
  <si>
    <t>Enter CPI QMC or QC gradations for comparison</t>
  </si>
  <si>
    <t xml:space="preserve">Index - e </t>
  </si>
  <si>
    <t>Item Description</t>
  </si>
  <si>
    <t>Form  #</t>
  </si>
  <si>
    <t>Page</t>
  </si>
  <si>
    <t xml:space="preserve"> Plant  Information  Sheet</t>
  </si>
  <si>
    <t xml:space="preserve"> Plant Site Inspection List</t>
  </si>
  <si>
    <t>E210</t>
  </si>
  <si>
    <t>Proj Info</t>
  </si>
  <si>
    <t>Grad 1- Grad 5</t>
  </si>
  <si>
    <t>CPI Gradations</t>
  </si>
  <si>
    <t>Beams Made &amp; Tested</t>
  </si>
  <si>
    <t>Project Information</t>
  </si>
  <si>
    <t>QMC Mix</t>
  </si>
  <si>
    <t>QMC Mix Information</t>
  </si>
  <si>
    <t>821283C</t>
  </si>
  <si>
    <t>Gradation Report - Verification</t>
  </si>
  <si>
    <t>CPI Grad</t>
  </si>
  <si>
    <t>Gradation Sieve Analysis (5)</t>
  </si>
  <si>
    <t>E215</t>
  </si>
  <si>
    <t>E214</t>
  </si>
  <si>
    <t xml:space="preserve">Form  E214 </t>
  </si>
  <si>
    <t>Aggr. &amp; Admixtures</t>
  </si>
  <si>
    <t>Proportion  Control</t>
  </si>
  <si>
    <t>q</t>
  </si>
  <si>
    <t xml:space="preserve">Form  E215 </t>
  </si>
  <si>
    <t xml:space="preserve">Plant  Report </t>
  </si>
  <si>
    <t>Plant  Report</t>
  </si>
  <si>
    <t>/</t>
  </si>
  <si>
    <t>English Paving PCC Plant Monitor Book Index</t>
  </si>
  <si>
    <t xml:space="preserve">Cement Source:  </t>
  </si>
  <si>
    <t xml:space="preserve">Fly Ash Source:  </t>
  </si>
  <si>
    <t xml:space="preserve">GGBFS Source:  </t>
  </si>
  <si>
    <t xml:space="preserve">Air Entraining Brand / Source:  </t>
  </si>
  <si>
    <t xml:space="preserve">Water Reducer Brand / Source:  </t>
  </si>
  <si>
    <t xml:space="preserve">Retarder Brand / Source:  </t>
  </si>
  <si>
    <t>Form M114</t>
  </si>
  <si>
    <t>( MPa)</t>
  </si>
  <si>
    <t>Mpa</t>
  </si>
  <si>
    <t>(N )</t>
  </si>
  <si>
    <t>( N )</t>
  </si>
  <si>
    <t>(mm )</t>
  </si>
  <si>
    <t>( mm)</t>
  </si>
  <si>
    <t>( mm )</t>
  </si>
  <si>
    <t>(mm)</t>
  </si>
  <si>
    <t>E114 or M114</t>
  </si>
  <si>
    <t xml:space="preserve">Contractor WF (QMC):  </t>
  </si>
  <si>
    <t>Max.</t>
  </si>
  <si>
    <t>Source</t>
  </si>
  <si>
    <t>A Number</t>
  </si>
  <si>
    <t>Enter aggregate source &amp; A number below, if different than Gradation 1.</t>
  </si>
  <si>
    <t>1.5" (37.5)</t>
  </si>
  <si>
    <t>1" (25)</t>
  </si>
  <si>
    <t>3/4" (19)</t>
  </si>
  <si>
    <t>1/2" (12.5)</t>
  </si>
  <si>
    <t>3/8" (9.5)</t>
  </si>
  <si>
    <t>#4 (4.75)</t>
  </si>
  <si>
    <t>#8 (2.36)</t>
  </si>
  <si>
    <t>#16 (1.18)</t>
  </si>
  <si>
    <t>#30 (600)</t>
  </si>
  <si>
    <t>#50 (300)</t>
  </si>
  <si>
    <t>#100 (150)</t>
  </si>
  <si>
    <t>#200 (75)</t>
  </si>
  <si>
    <t xml:space="preserve">1.5" (37.5mm) Sieve   </t>
  </si>
  <si>
    <t xml:space="preserve">1" (25mm) Sieve   </t>
  </si>
  <si>
    <t xml:space="preserve">3/4" (19mm) Sieve   </t>
  </si>
  <si>
    <t xml:space="preserve">1/2" (12.5mm) Sieve   </t>
  </si>
  <si>
    <t xml:space="preserve">3/8" (9.5mm) Sieve   </t>
  </si>
  <si>
    <t xml:space="preserve">#4 (4.75mm) Sieve   </t>
  </si>
  <si>
    <t xml:space="preserve">#8 (2.36mm) Sieve   </t>
  </si>
  <si>
    <t>Orig. Dry Weight:</t>
  </si>
  <si>
    <t>Dry Wt. Washed:</t>
  </si>
  <si>
    <t>Compies (Y/N)</t>
  </si>
  <si>
    <t xml:space="preserve">Sample ID: </t>
  </si>
  <si>
    <t xml:space="preserve">Orig. Dry Weight: </t>
  </si>
  <si>
    <t xml:space="preserve">Dry Wt. Washed: </t>
  </si>
  <si>
    <t xml:space="preserve">#16 (1.18mm) Sieve   </t>
  </si>
  <si>
    <t xml:space="preserve">#30 (600 µm) Sieve   </t>
  </si>
  <si>
    <t xml:space="preserve">#50 (300 µm)  Sieve   </t>
  </si>
  <si>
    <t xml:space="preserve">#100 (150 µm) Sieve   </t>
  </si>
  <si>
    <t xml:space="preserve">#200 (75 µm) Sieve   </t>
  </si>
  <si>
    <t xml:space="preserve">Coarse </t>
  </si>
  <si>
    <t>VER 9-09</t>
  </si>
  <si>
    <t>Rev 9/09</t>
  </si>
  <si>
    <t>Enter Aggregate Percentages from Plant Report at Time Sample was taken.</t>
  </si>
  <si>
    <t xml:space="preserve">Enter CF &amp; WF from other report if &gt; 5 verification tests. </t>
  </si>
  <si>
    <t>Coarseness Factor (CF)</t>
  </si>
  <si>
    <t>Workability Factor (WF)</t>
  </si>
  <si>
    <t>Monitor  Checks ( PCC Paving )</t>
  </si>
  <si>
    <t>Monitor  Checks</t>
  </si>
  <si>
    <t>Monitor Checks</t>
  </si>
  <si>
    <t>Diary</t>
  </si>
  <si>
    <t>Diary  3 or 4</t>
  </si>
  <si>
    <t>Mix INFO for BR/QMC/HPC-DBR ONLY</t>
  </si>
  <si>
    <r>
      <t xml:space="preserve">Enter Required Fields for
</t>
    </r>
    <r>
      <rPr>
        <b/>
        <i/>
        <sz val="10"/>
        <color indexed="12"/>
        <rFont val="Arial MT"/>
      </rPr>
      <t xml:space="preserve">QMC </t>
    </r>
    <r>
      <rPr>
        <b/>
        <i/>
        <sz val="10"/>
        <rFont val="Arial MT"/>
      </rPr>
      <t>Mixes
When (</t>
    </r>
    <r>
      <rPr>
        <b/>
        <i/>
        <sz val="10"/>
        <color indexed="10"/>
        <rFont val="Arial MT"/>
      </rPr>
      <t>ENTER</t>
    </r>
    <r>
      <rPr>
        <b/>
        <i/>
        <sz val="10"/>
        <rFont val="Arial MT"/>
      </rPr>
      <t>) displays</t>
    </r>
  </si>
  <si>
    <t>&lt;=Enter Max % Passing 200 (1.5 or 2.5)</t>
  </si>
  <si>
    <t>A-L2</t>
  </si>
  <si>
    <t>A-L3</t>
  </si>
  <si>
    <t>A-L4</t>
  </si>
  <si>
    <t>A-L5</t>
  </si>
  <si>
    <t>B-L2</t>
  </si>
  <si>
    <t>B-L3</t>
  </si>
  <si>
    <t>B-L4</t>
  </si>
  <si>
    <t>B-L5</t>
  </si>
  <si>
    <t>C-L2</t>
  </si>
  <si>
    <t>C-L3</t>
  </si>
  <si>
    <t>C-L3WR</t>
  </si>
  <si>
    <t>C-L4</t>
  </si>
  <si>
    <t>C-L4WR</t>
  </si>
  <si>
    <t>C-L5</t>
  </si>
  <si>
    <t>C-L5WR</t>
  </si>
  <si>
    <t>C-V</t>
  </si>
  <si>
    <t>FM</t>
  </si>
  <si>
    <t>HPC-O</t>
  </si>
  <si>
    <t>M-5</t>
  </si>
  <si>
    <t>M-V47B</t>
  </si>
  <si>
    <t>X-2</t>
  </si>
  <si>
    <t>X-3</t>
  </si>
  <si>
    <t>X-4</t>
  </si>
  <si>
    <t>Rev 12/18</t>
  </si>
  <si>
    <t xml:space="preserve">Line No.: </t>
  </si>
  <si>
    <t>*Length</t>
  </si>
  <si>
    <t xml:space="preserve">I.A. Specification Limits 3/4" Sieve:  </t>
  </si>
  <si>
    <t xml:space="preserve">I.A. Specification Limits 1/2" Sieve:  </t>
  </si>
  <si>
    <t xml:space="preserve">I.A. Specification Limits 3/8" Sieve:  </t>
  </si>
  <si>
    <t xml:space="preserve">I.A. Specification Limits #4 Sieve:  </t>
  </si>
  <si>
    <t xml:space="preserve">I.A. Specification Limits #8 Sieve:  </t>
  </si>
  <si>
    <t xml:space="preserve">I.A. Specification Limits #200 Sieve:  </t>
  </si>
  <si>
    <t xml:space="preserve">Intermediate Aggregate Gradation No. :  </t>
  </si>
  <si>
    <t>2 , 6 or blank</t>
  </si>
  <si>
    <t>Gradation Correlation I.M. 216</t>
  </si>
  <si>
    <t>IM 216</t>
  </si>
  <si>
    <t>IM 216 Correlation</t>
  </si>
  <si>
    <t>04/20/23 tdh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</si>
</sst>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mm/dd/yy_)"/>
    <numFmt numFmtId="165" formatCode="0_)"/>
    <numFmt numFmtId="166" formatCode=";;;"/>
    <numFmt numFmtId="167" formatCode="0.0_)"/>
    <numFmt numFmtId="168" formatCode="0.0%"/>
    <numFmt numFmtId="169" formatCode="0.00_)"/>
    <numFmt numFmtId="170" formatCode="0.000_)"/>
    <numFmt numFmtId="171" formatCode="#,##0.0_);\(#,##0.0\)"/>
    <numFmt numFmtId="172" formatCode="0.0"/>
    <numFmt numFmtId="173" formatCode="0.000"/>
    <numFmt numFmtId="174" formatCode="hh:mm_)"/>
    <numFmt numFmtId="175" formatCode="m/d/yy"/>
    <numFmt numFmtId="176" formatCode="0.000000_)"/>
    <numFmt numFmtId="177" formatCode="m/d/yy;@"/>
    <numFmt numFmtId="178" formatCode="h:mm;@"/>
  </numFmts>
  <fonts count="80">
    <font>
      <sz val="12"/>
      <name val="Arial MT"/>
    </font>
    <font>
      <sz val="12"/>
      <color indexed="8"/>
      <name val="Arial"/>
      <family val="2"/>
    </font>
    <font>
      <b/>
      <sz val="12"/>
      <name val="Arial MT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MT"/>
    </font>
    <font>
      <b/>
      <sz val="10"/>
      <color indexed="8"/>
      <name val="Arial"/>
      <family val="2"/>
    </font>
    <font>
      <sz val="12"/>
      <color indexed="12"/>
      <name val="Arial"/>
      <family val="2"/>
    </font>
    <font>
      <sz val="10"/>
      <name val="Arial MT"/>
      <family val="2"/>
    </font>
    <font>
      <b/>
      <sz val="12"/>
      <name val="Arial MT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2"/>
      <name val="Arial MT"/>
      <family val="2"/>
    </font>
    <font>
      <sz val="12"/>
      <color indexed="12"/>
      <name val="Arial MT"/>
      <family val="2"/>
    </font>
    <font>
      <sz val="12"/>
      <color indexed="8"/>
      <name val="Arial MT"/>
      <family val="2"/>
    </font>
    <font>
      <sz val="12"/>
      <name val="Arial MT"/>
    </font>
    <font>
      <sz val="12"/>
      <color indexed="10"/>
      <name val="Arial MT"/>
      <family val="2"/>
    </font>
    <font>
      <sz val="12"/>
      <name val="Arial MT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0"/>
      <color indexed="12"/>
      <name val="Arial"/>
      <family val="2"/>
    </font>
    <font>
      <sz val="12"/>
      <color indexed="12"/>
      <name val="Arial MT"/>
    </font>
    <font>
      <sz val="10"/>
      <name val="Arial MT"/>
    </font>
    <font>
      <sz val="13"/>
      <name val="Arial MT"/>
    </font>
    <font>
      <sz val="14.5"/>
      <name val="Arial MT"/>
    </font>
    <font>
      <b/>
      <sz val="14.5"/>
      <name val="Arial MT"/>
    </font>
    <font>
      <b/>
      <sz val="14.5"/>
      <color indexed="8"/>
      <name val="Arial"/>
      <family val="2"/>
    </font>
    <font>
      <sz val="12"/>
      <color indexed="8"/>
      <name val="Arial MT"/>
    </font>
    <font>
      <b/>
      <sz val="16"/>
      <color indexed="8"/>
      <name val="Arial"/>
      <family val="2"/>
    </font>
    <font>
      <b/>
      <i/>
      <sz val="10"/>
      <name val="Arial MT"/>
    </font>
    <font>
      <b/>
      <i/>
      <sz val="10"/>
      <color indexed="12"/>
      <name val="Arial MT"/>
    </font>
    <font>
      <b/>
      <i/>
      <sz val="10"/>
      <color indexed="10"/>
      <name val="Arial MT"/>
    </font>
    <font>
      <b/>
      <i/>
      <sz val="12"/>
      <color indexed="10"/>
      <name val="Arial MT"/>
    </font>
    <font>
      <b/>
      <sz val="9"/>
      <name val="Arial MT"/>
    </font>
    <font>
      <sz val="9"/>
      <name val="Arial MT"/>
    </font>
    <font>
      <b/>
      <sz val="11"/>
      <name val="Arial MT"/>
    </font>
    <font>
      <sz val="11"/>
      <name val="Arial MT"/>
    </font>
    <font>
      <b/>
      <sz val="10"/>
      <name val="Arial MT"/>
    </font>
    <font>
      <sz val="10"/>
      <color indexed="12"/>
      <name val="Arial MT"/>
    </font>
    <font>
      <b/>
      <sz val="18"/>
      <color indexed="8"/>
      <name val="Arial"/>
      <family val="2"/>
    </font>
    <font>
      <sz val="16"/>
      <name val="Arial MT"/>
    </font>
    <font>
      <b/>
      <sz val="16"/>
      <name val="Arial MT"/>
    </font>
    <font>
      <b/>
      <sz val="18"/>
      <name val="Arial MT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8"/>
      <name val="Arial MT"/>
    </font>
    <font>
      <b/>
      <i/>
      <sz val="12"/>
      <name val="Arial MT"/>
    </font>
    <font>
      <b/>
      <sz val="16"/>
      <color indexed="22"/>
      <name val="Arial"/>
      <family val="2"/>
    </font>
    <font>
      <sz val="11"/>
      <name val="Arial MT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 val="double"/>
      <sz val="10"/>
      <name val="Arial"/>
      <family val="2"/>
    </font>
    <font>
      <b/>
      <sz val="10"/>
      <name val="Arial MT"/>
      <family val="2"/>
    </font>
    <font>
      <b/>
      <sz val="8"/>
      <name val="Arial"/>
      <family val="2"/>
    </font>
    <font>
      <b/>
      <sz val="18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sz val="13"/>
      <color indexed="10"/>
      <name val="Arial"/>
      <family val="2"/>
    </font>
    <font>
      <sz val="10"/>
      <color indexed="10"/>
      <name val="Arial MT"/>
    </font>
    <font>
      <sz val="13"/>
      <color indexed="12"/>
      <name val="Arial"/>
      <family val="2"/>
    </font>
    <font>
      <sz val="13"/>
      <color indexed="8"/>
      <name val="Arial"/>
      <family val="2"/>
    </font>
    <font>
      <sz val="10"/>
      <color indexed="8"/>
      <name val="Arial MT"/>
    </font>
    <font>
      <sz val="12"/>
      <color indexed="8"/>
      <name val="Arial"/>
      <family val="2"/>
    </font>
    <font>
      <sz val="22"/>
      <color indexed="8"/>
      <name val="Arial"/>
      <family val="2"/>
    </font>
    <font>
      <sz val="18"/>
      <color indexed="8"/>
      <name val="Arial"/>
      <family val="2"/>
    </font>
    <font>
      <sz val="11"/>
      <name val="Arial"/>
      <family val="2"/>
    </font>
    <font>
      <sz val="12"/>
      <color indexed="9"/>
      <name val="Arial MT"/>
    </font>
    <font>
      <i/>
      <sz val="9"/>
      <name val="Arial MT"/>
    </font>
    <font>
      <i/>
      <sz val="10"/>
      <name val="Arial MT"/>
    </font>
    <font>
      <b/>
      <i/>
      <u/>
      <sz val="16"/>
      <color indexed="8"/>
      <name val="Arial"/>
      <family val="2"/>
    </font>
    <font>
      <b/>
      <u/>
      <sz val="16"/>
      <color indexed="8"/>
      <name val="Arial"/>
      <family val="2"/>
    </font>
    <font>
      <sz val="12"/>
      <color rgb="FF0000FF"/>
      <name val="Arial MT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gray125">
        <bgColor indexed="22"/>
      </patternFill>
    </fill>
    <fill>
      <patternFill patternType="solid">
        <fgColor indexed="40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165" fontId="0" fillId="0" borderId="0"/>
    <xf numFmtId="0" fontId="17" fillId="0" borderId="0"/>
    <xf numFmtId="0" fontId="59" fillId="2" borderId="0"/>
    <xf numFmtId="165" fontId="17" fillId="0" borderId="0"/>
  </cellStyleXfs>
  <cellXfs count="627">
    <xf numFmtId="165" fontId="0" fillId="0" borderId="0" xfId="0"/>
    <xf numFmtId="165" fontId="1" fillId="0" borderId="0" xfId="0" applyFont="1" applyProtection="1"/>
    <xf numFmtId="165" fontId="0" fillId="0" borderId="0" xfId="0" applyProtection="1"/>
    <xf numFmtId="165" fontId="4" fillId="0" borderId="0" xfId="0" applyFont="1" applyAlignment="1" applyProtection="1">
      <alignment horizontal="centerContinuous"/>
    </xf>
    <xf numFmtId="165" fontId="4" fillId="0" borderId="0" xfId="0" applyFont="1" applyAlignment="1" applyProtection="1">
      <alignment horizontal="centerContinuous" vertical="top"/>
    </xf>
    <xf numFmtId="165" fontId="1" fillId="0" borderId="0" xfId="0" applyFont="1" applyAlignment="1" applyProtection="1">
      <alignment horizontal="centerContinuous"/>
    </xf>
    <xf numFmtId="165" fontId="4" fillId="0" borderId="0" xfId="0" applyFont="1" applyProtection="1"/>
    <xf numFmtId="165" fontId="5" fillId="0" borderId="0" xfId="0" applyFont="1" applyProtection="1"/>
    <xf numFmtId="165" fontId="6" fillId="0" borderId="0" xfId="0" applyFont="1" applyProtection="1"/>
    <xf numFmtId="165" fontId="4" fillId="0" borderId="0" xfId="0" applyFont="1" applyAlignment="1" applyProtection="1">
      <alignment horizontal="right"/>
    </xf>
    <xf numFmtId="165" fontId="9" fillId="0" borderId="0" xfId="0" applyFont="1" applyProtection="1"/>
    <xf numFmtId="166" fontId="0" fillId="0" borderId="0" xfId="0" applyNumberFormat="1" applyProtection="1"/>
    <xf numFmtId="165" fontId="8" fillId="0" borderId="0" xfId="0" applyFont="1" applyProtection="1"/>
    <xf numFmtId="165" fontId="8" fillId="0" borderId="1" xfId="0" applyFont="1" applyBorder="1" applyAlignment="1" applyProtection="1">
      <alignment horizontal="center"/>
    </xf>
    <xf numFmtId="0" fontId="0" fillId="0" borderId="0" xfId="0" applyNumberFormat="1" applyProtection="1"/>
    <xf numFmtId="0" fontId="10" fillId="0" borderId="0" xfId="0" applyNumberFormat="1" applyFon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8" fillId="0" borderId="0" xfId="0" applyNumberFormat="1" applyFont="1" applyAlignment="1" applyProtection="1">
      <alignment horizontal="center"/>
    </xf>
    <xf numFmtId="0" fontId="11" fillId="0" borderId="0" xfId="0" applyNumberFormat="1" applyFont="1" applyAlignment="1" applyProtection="1">
      <alignment horizontal="center"/>
    </xf>
    <xf numFmtId="0" fontId="10" fillId="0" borderId="0" xfId="0" applyNumberFormat="1" applyFont="1" applyProtection="1"/>
    <xf numFmtId="165" fontId="10" fillId="0" borderId="1" xfId="0" applyFont="1" applyBorder="1" applyAlignment="1" applyProtection="1">
      <alignment horizontal="center"/>
    </xf>
    <xf numFmtId="165" fontId="12" fillId="0" borderId="0" xfId="0" applyFont="1" applyProtection="1"/>
    <xf numFmtId="0" fontId="11" fillId="0" borderId="0" xfId="0" applyNumberFormat="1" applyFont="1" applyProtection="1"/>
    <xf numFmtId="0" fontId="10" fillId="0" borderId="0" xfId="0" applyNumberFormat="1" applyFont="1" applyAlignment="1" applyProtection="1">
      <alignment horizontal="right"/>
    </xf>
    <xf numFmtId="0" fontId="12" fillId="0" borderId="0" xfId="0" applyNumberFormat="1" applyFont="1" applyProtection="1"/>
    <xf numFmtId="165" fontId="14" fillId="0" borderId="1" xfId="0" applyFont="1" applyBorder="1" applyAlignment="1" applyProtection="1">
      <alignment horizontal="right"/>
    </xf>
    <xf numFmtId="165" fontId="15" fillId="3" borderId="2" xfId="0" applyFont="1" applyFill="1" applyBorder="1" applyProtection="1">
      <protection locked="0"/>
    </xf>
    <xf numFmtId="165" fontId="16" fillId="3" borderId="3" xfId="0" applyFont="1" applyFill="1" applyBorder="1" applyProtection="1">
      <protection locked="0"/>
    </xf>
    <xf numFmtId="165" fontId="14" fillId="3" borderId="4" xfId="0" applyFont="1" applyFill="1" applyBorder="1" applyProtection="1"/>
    <xf numFmtId="165" fontId="17" fillId="0" borderId="0" xfId="0" applyFont="1" applyProtection="1"/>
    <xf numFmtId="167" fontId="17" fillId="0" borderId="0" xfId="0" applyNumberFormat="1" applyFont="1" applyProtection="1"/>
    <xf numFmtId="165" fontId="14" fillId="0" borderId="0" xfId="0" applyFont="1" applyProtection="1"/>
    <xf numFmtId="165" fontId="14" fillId="0" borderId="1" xfId="0" applyFont="1" applyBorder="1" applyAlignment="1" applyProtection="1">
      <alignment horizontal="center"/>
    </xf>
    <xf numFmtId="165" fontId="12" fillId="0" borderId="1" xfId="0" applyFont="1" applyBorder="1" applyAlignment="1" applyProtection="1">
      <alignment horizontal="right"/>
    </xf>
    <xf numFmtId="165" fontId="18" fillId="3" borderId="0" xfId="0" applyFont="1" applyFill="1" applyAlignment="1" applyProtection="1">
      <alignment horizontal="centerContinuous" vertical="center"/>
    </xf>
    <xf numFmtId="165" fontId="19" fillId="0" borderId="0" xfId="0" applyFont="1" applyProtection="1"/>
    <xf numFmtId="165" fontId="12" fillId="0" borderId="5" xfId="0" applyFont="1" applyBorder="1" applyAlignment="1" applyProtection="1">
      <alignment horizontal="center"/>
    </xf>
    <xf numFmtId="165" fontId="14" fillId="0" borderId="0" xfId="0" applyFont="1" applyAlignment="1" applyProtection="1">
      <alignment horizontal="center"/>
    </xf>
    <xf numFmtId="165" fontId="12" fillId="0" borderId="1" xfId="0" applyFont="1" applyBorder="1" applyAlignment="1" applyProtection="1">
      <alignment horizontal="center"/>
    </xf>
    <xf numFmtId="165" fontId="17" fillId="4" borderId="0" xfId="0" applyFont="1" applyFill="1" applyProtection="1"/>
    <xf numFmtId="165" fontId="15" fillId="3" borderId="6" xfId="0" applyFont="1" applyFill="1" applyBorder="1" applyProtection="1">
      <protection locked="0"/>
    </xf>
    <xf numFmtId="165" fontId="16" fillId="3" borderId="7" xfId="0" applyFont="1" applyFill="1" applyBorder="1" applyProtection="1">
      <protection locked="0"/>
    </xf>
    <xf numFmtId="165" fontId="14" fillId="3" borderId="8" xfId="0" applyFont="1" applyFill="1" applyBorder="1" applyProtection="1"/>
    <xf numFmtId="171" fontId="12" fillId="5" borderId="1" xfId="0" applyNumberFormat="1" applyFont="1" applyFill="1" applyBorder="1" applyAlignment="1" applyProtection="1">
      <alignment horizontal="center"/>
      <protection locked="0"/>
    </xf>
    <xf numFmtId="165" fontId="0" fillId="0" borderId="0" xfId="0" applyAlignment="1">
      <alignment horizontal="right"/>
    </xf>
    <xf numFmtId="165" fontId="11" fillId="0" borderId="0" xfId="0" applyFont="1" applyProtection="1"/>
    <xf numFmtId="165" fontId="20" fillId="0" borderId="0" xfId="0" applyFont="1" applyAlignment="1" applyProtection="1">
      <alignment horizontal="center"/>
    </xf>
    <xf numFmtId="165" fontId="21" fillId="0" borderId="0" xfId="0" applyFont="1" applyProtection="1"/>
    <xf numFmtId="165" fontId="22" fillId="0" borderId="0" xfId="0" applyFont="1" applyAlignment="1" applyProtection="1">
      <alignment horizontal="center"/>
    </xf>
    <xf numFmtId="165" fontId="11" fillId="0" borderId="9" xfId="0" applyFont="1" applyBorder="1" applyProtection="1"/>
    <xf numFmtId="165" fontId="11" fillId="0" borderId="10" xfId="0" applyFont="1" applyBorder="1" applyProtection="1"/>
    <xf numFmtId="165" fontId="11" fillId="0" borderId="11" xfId="0" applyFont="1" applyBorder="1" applyProtection="1"/>
    <xf numFmtId="173" fontId="23" fillId="0" borderId="12" xfId="0" applyNumberFormat="1" applyFont="1" applyBorder="1" applyProtection="1">
      <protection locked="0"/>
    </xf>
    <xf numFmtId="168" fontId="11" fillId="0" borderId="13" xfId="0" applyNumberFormat="1" applyFont="1" applyBorder="1" applyProtection="1"/>
    <xf numFmtId="165" fontId="11" fillId="0" borderId="14" xfId="0" applyFont="1" applyBorder="1" applyProtection="1"/>
    <xf numFmtId="165" fontId="11" fillId="0" borderId="15" xfId="0" applyFont="1" applyBorder="1" applyProtection="1"/>
    <xf numFmtId="165" fontId="11" fillId="0" borderId="16" xfId="0" applyFont="1" applyBorder="1" applyProtection="1"/>
    <xf numFmtId="173" fontId="23" fillId="0" borderId="2" xfId="0" applyNumberFormat="1" applyFont="1" applyBorder="1" applyProtection="1">
      <protection locked="0"/>
    </xf>
    <xf numFmtId="173" fontId="23" fillId="0" borderId="17" xfId="0" applyNumberFormat="1" applyFont="1" applyBorder="1" applyProtection="1">
      <protection locked="0"/>
    </xf>
    <xf numFmtId="168" fontId="11" fillId="0" borderId="18" xfId="0" applyNumberFormat="1" applyFont="1" applyBorder="1" applyProtection="1"/>
    <xf numFmtId="165" fontId="11" fillId="0" borderId="19" xfId="0" applyFont="1" applyBorder="1" applyProtection="1"/>
    <xf numFmtId="165" fontId="11" fillId="0" borderId="20" xfId="0" applyFont="1" applyBorder="1" applyProtection="1"/>
    <xf numFmtId="165" fontId="11" fillId="0" borderId="21" xfId="0" applyFont="1" applyBorder="1" applyProtection="1"/>
    <xf numFmtId="173" fontId="23" fillId="0" borderId="22" xfId="0" applyNumberFormat="1" applyFont="1" applyBorder="1" applyProtection="1">
      <protection locked="0"/>
    </xf>
    <xf numFmtId="173" fontId="23" fillId="0" borderId="23" xfId="0" applyNumberFormat="1" applyFont="1" applyBorder="1" applyProtection="1">
      <protection locked="0"/>
    </xf>
    <xf numFmtId="168" fontId="11" fillId="0" borderId="24" xfId="0" applyNumberFormat="1" applyFont="1" applyBorder="1" applyProtection="1"/>
    <xf numFmtId="167" fontId="11" fillId="0" borderId="0" xfId="0" applyNumberFormat="1" applyFont="1" applyProtection="1"/>
    <xf numFmtId="165" fontId="6" fillId="0" borderId="25" xfId="0" applyFont="1" applyBorder="1" applyProtection="1"/>
    <xf numFmtId="165" fontId="6" fillId="0" borderId="26" xfId="0" applyFont="1" applyBorder="1" applyAlignment="1" applyProtection="1">
      <alignment horizontal="center"/>
    </xf>
    <xf numFmtId="165" fontId="6" fillId="0" borderId="27" xfId="0" applyFont="1" applyBorder="1" applyProtection="1"/>
    <xf numFmtId="165" fontId="6" fillId="0" borderId="28" xfId="0" applyFont="1" applyBorder="1" applyAlignment="1" applyProtection="1">
      <alignment horizontal="center"/>
    </xf>
    <xf numFmtId="165" fontId="6" fillId="0" borderId="29" xfId="0" applyFont="1" applyBorder="1" applyAlignment="1" applyProtection="1">
      <alignment horizontal="center"/>
    </xf>
    <xf numFmtId="165" fontId="6" fillId="0" borderId="30" xfId="0" applyFont="1" applyBorder="1" applyProtection="1"/>
    <xf numFmtId="165" fontId="6" fillId="0" borderId="30" xfId="0" applyFont="1" applyBorder="1" applyAlignment="1" applyProtection="1">
      <alignment horizontal="left"/>
    </xf>
    <xf numFmtId="165" fontId="6" fillId="0" borderId="31" xfId="0" applyFont="1" applyBorder="1" applyProtection="1"/>
    <xf numFmtId="165" fontId="6" fillId="0" borderId="21" xfId="0" applyFont="1" applyBorder="1" applyAlignment="1" applyProtection="1">
      <alignment horizontal="center"/>
    </xf>
    <xf numFmtId="165" fontId="6" fillId="0" borderId="32" xfId="0" applyFont="1" applyBorder="1" applyProtection="1"/>
    <xf numFmtId="165" fontId="6" fillId="0" borderId="33" xfId="0" applyFont="1" applyBorder="1" applyProtection="1"/>
    <xf numFmtId="165" fontId="20" fillId="0" borderId="16" xfId="0" applyFont="1" applyBorder="1" applyAlignment="1" applyProtection="1">
      <alignment horizontal="center"/>
    </xf>
    <xf numFmtId="165" fontId="21" fillId="0" borderId="16" xfId="0" applyFont="1" applyBorder="1" applyAlignment="1" applyProtection="1">
      <alignment horizontal="center"/>
    </xf>
    <xf numFmtId="165" fontId="22" fillId="0" borderId="16" xfId="0" applyFont="1" applyBorder="1" applyAlignment="1" applyProtection="1">
      <alignment horizontal="center"/>
    </xf>
    <xf numFmtId="165" fontId="6" fillId="0" borderId="34" xfId="0" applyFont="1" applyBorder="1" applyProtection="1"/>
    <xf numFmtId="165" fontId="6" fillId="0" borderId="33" xfId="0" applyFont="1" applyBorder="1" applyAlignment="1" applyProtection="1">
      <alignment horizontal="center"/>
    </xf>
    <xf numFmtId="167" fontId="11" fillId="0" borderId="16" xfId="0" applyNumberFormat="1" applyFont="1" applyBorder="1" applyProtection="1"/>
    <xf numFmtId="167" fontId="6" fillId="0" borderId="16" xfId="0" applyNumberFormat="1" applyFont="1" applyBorder="1" applyProtection="1"/>
    <xf numFmtId="172" fontId="23" fillId="0" borderId="1" xfId="0" applyNumberFormat="1" applyFont="1" applyBorder="1" applyProtection="1">
      <protection locked="0"/>
    </xf>
    <xf numFmtId="167" fontId="11" fillId="6" borderId="16" xfId="0" applyNumberFormat="1" applyFont="1" applyFill="1" applyBorder="1" applyProtection="1"/>
    <xf numFmtId="165" fontId="6" fillId="0" borderId="31" xfId="0" applyFont="1" applyBorder="1" applyAlignment="1" applyProtection="1">
      <alignment horizontal="center"/>
    </xf>
    <xf numFmtId="167" fontId="11" fillId="0" borderId="21" xfId="0" applyNumberFormat="1" applyFont="1" applyBorder="1" applyProtection="1">
      <protection locked="0"/>
    </xf>
    <xf numFmtId="167" fontId="6" fillId="0" borderId="35" xfId="0" applyNumberFormat="1" applyFont="1" applyBorder="1" applyProtection="1"/>
    <xf numFmtId="172" fontId="23" fillId="0" borderId="35" xfId="0" applyNumberFormat="1" applyFont="1" applyBorder="1"/>
    <xf numFmtId="167" fontId="11" fillId="0" borderId="21" xfId="0" applyNumberFormat="1" applyFont="1" applyBorder="1" applyProtection="1"/>
    <xf numFmtId="167" fontId="11" fillId="0" borderId="0" xfId="0" applyNumberFormat="1" applyFont="1" applyBorder="1" applyProtection="1"/>
    <xf numFmtId="165" fontId="6" fillId="0" borderId="0" xfId="0" applyFont="1" applyBorder="1" applyProtection="1"/>
    <xf numFmtId="167" fontId="6" fillId="0" borderId="0" xfId="0" applyNumberFormat="1" applyFont="1" applyProtection="1"/>
    <xf numFmtId="172" fontId="23" fillId="0" borderId="35" xfId="0" applyNumberFormat="1" applyFont="1" applyBorder="1" applyProtection="1"/>
    <xf numFmtId="165" fontId="2" fillId="0" borderId="0" xfId="0" applyFont="1" applyProtection="1"/>
    <xf numFmtId="165" fontId="23" fillId="7" borderId="0" xfId="0" applyFont="1" applyFill="1" applyAlignment="1" applyProtection="1">
      <alignment horizontal="left"/>
      <protection locked="0"/>
    </xf>
    <xf numFmtId="2" fontId="23" fillId="7" borderId="0" xfId="0" applyNumberFormat="1" applyFont="1" applyFill="1" applyAlignment="1" applyProtection="1">
      <alignment horizontal="left"/>
      <protection locked="0"/>
    </xf>
    <xf numFmtId="165" fontId="23" fillId="7" borderId="0" xfId="0" applyFont="1" applyFill="1" applyAlignment="1">
      <alignment horizontal="left"/>
    </xf>
    <xf numFmtId="0" fontId="0" fillId="0" borderId="0" xfId="0" applyNumberFormat="1"/>
    <xf numFmtId="0" fontId="11" fillId="0" borderId="16" xfId="0" applyNumberFormat="1" applyFont="1" applyBorder="1" applyProtection="1"/>
    <xf numFmtId="165" fontId="24" fillId="0" borderId="0" xfId="0" applyFont="1" applyAlignment="1">
      <alignment horizontal="right"/>
    </xf>
    <xf numFmtId="165" fontId="25" fillId="0" borderId="0" xfId="0" applyFont="1"/>
    <xf numFmtId="165" fontId="26" fillId="0" borderId="0" xfId="0" applyFont="1"/>
    <xf numFmtId="165" fontId="28" fillId="0" borderId="0" xfId="0" applyFont="1" applyFill="1" applyProtection="1"/>
    <xf numFmtId="165" fontId="28" fillId="0" borderId="0" xfId="0" applyFont="1" applyProtection="1"/>
    <xf numFmtId="165" fontId="28" fillId="0" borderId="2" xfId="0" applyFont="1" applyBorder="1" applyAlignment="1" applyProtection="1">
      <alignment horizontal="centerContinuous"/>
    </xf>
    <xf numFmtId="165" fontId="28" fillId="0" borderId="3" xfId="0" applyFont="1" applyBorder="1" applyAlignment="1" applyProtection="1">
      <alignment horizontal="centerContinuous"/>
    </xf>
    <xf numFmtId="165" fontId="28" fillId="0" borderId="36" xfId="0" applyFont="1" applyBorder="1" applyAlignment="1" applyProtection="1">
      <alignment horizontal="centerContinuous"/>
    </xf>
    <xf numFmtId="165" fontId="28" fillId="0" borderId="4" xfId="0" applyFont="1" applyBorder="1" applyAlignment="1" applyProtection="1">
      <alignment horizontal="centerContinuous"/>
    </xf>
    <xf numFmtId="165" fontId="28" fillId="0" borderId="0" xfId="0" applyFont="1" applyAlignment="1" applyProtection="1">
      <alignment horizontal="right"/>
    </xf>
    <xf numFmtId="165" fontId="26" fillId="0" borderId="0" xfId="0" applyFont="1" applyProtection="1"/>
    <xf numFmtId="165" fontId="28" fillId="0" borderId="1" xfId="0" applyFont="1" applyBorder="1" applyAlignment="1" applyProtection="1">
      <alignment horizontal="center"/>
    </xf>
    <xf numFmtId="165" fontId="28" fillId="0" borderId="2" xfId="0" applyFont="1" applyBorder="1" applyAlignment="1" applyProtection="1">
      <alignment horizontal="center"/>
    </xf>
    <xf numFmtId="165" fontId="28" fillId="0" borderId="37" xfId="0" applyFont="1" applyBorder="1" applyAlignment="1" applyProtection="1">
      <alignment horizontal="center"/>
    </xf>
    <xf numFmtId="165" fontId="27" fillId="0" borderId="1" xfId="0" applyFont="1" applyBorder="1" applyAlignment="1" applyProtection="1">
      <alignment horizontal="center"/>
    </xf>
    <xf numFmtId="165" fontId="27" fillId="0" borderId="37" xfId="0" applyFont="1" applyBorder="1" applyAlignment="1" applyProtection="1">
      <alignment horizontal="right"/>
    </xf>
    <xf numFmtId="165" fontId="28" fillId="0" borderId="37" xfId="0" applyFont="1" applyBorder="1" applyAlignment="1" applyProtection="1">
      <alignment horizontal="right"/>
    </xf>
    <xf numFmtId="165" fontId="28" fillId="0" borderId="0" xfId="0" applyFont="1" applyFill="1" applyBorder="1" applyAlignment="1" applyProtection="1">
      <alignment horizontal="center"/>
    </xf>
    <xf numFmtId="165" fontId="27" fillId="0" borderId="0" xfId="0" applyFont="1" applyBorder="1" applyAlignment="1" applyProtection="1">
      <alignment horizontal="right"/>
    </xf>
    <xf numFmtId="165" fontId="28" fillId="0" borderId="15" xfId="0" applyFont="1" applyBorder="1" applyAlignment="1" applyProtection="1">
      <alignment horizontal="center"/>
    </xf>
    <xf numFmtId="165" fontId="28" fillId="0" borderId="15" xfId="0" applyFont="1" applyBorder="1" applyProtection="1"/>
    <xf numFmtId="165" fontId="28" fillId="0" borderId="0" xfId="0" applyFont="1" applyBorder="1" applyProtection="1"/>
    <xf numFmtId="167" fontId="28" fillId="0" borderId="0" xfId="0" applyNumberFormat="1" applyFont="1" applyProtection="1"/>
    <xf numFmtId="0" fontId="3" fillId="0" borderId="1" xfId="0" applyNumberFormat="1" applyFont="1" applyBorder="1" applyAlignment="1" applyProtection="1">
      <alignment horizontal="center"/>
    </xf>
    <xf numFmtId="165" fontId="28" fillId="0" borderId="0" xfId="0" applyFont="1" applyBorder="1" applyAlignment="1" applyProtection="1">
      <alignment horizontal="centerContinuous"/>
    </xf>
    <xf numFmtId="2" fontId="28" fillId="0" borderId="0" xfId="0" applyNumberFormat="1" applyFont="1" applyBorder="1" applyAlignment="1" applyProtection="1">
      <alignment horizontal="centerContinuous"/>
    </xf>
    <xf numFmtId="175" fontId="23" fillId="7" borderId="0" xfId="0" applyNumberFormat="1" applyFont="1" applyFill="1" applyAlignment="1" applyProtection="1">
      <alignment horizontal="left"/>
      <protection locked="0"/>
    </xf>
    <xf numFmtId="165" fontId="2" fillId="0" borderId="0" xfId="0" applyFont="1"/>
    <xf numFmtId="165" fontId="39" fillId="0" borderId="0" xfId="0" applyFont="1" applyAlignment="1">
      <alignment horizontal="right"/>
    </xf>
    <xf numFmtId="1" fontId="40" fillId="8" borderId="0" xfId="0" applyNumberFormat="1" applyFont="1" applyFill="1" applyBorder="1" applyAlignment="1" applyProtection="1">
      <alignment horizontal="center"/>
      <protection locked="0"/>
    </xf>
    <xf numFmtId="172" fontId="40" fillId="8" borderId="0" xfId="0" applyNumberFormat="1" applyFont="1" applyFill="1" applyBorder="1" applyAlignment="1" applyProtection="1">
      <alignment horizontal="center"/>
      <protection locked="0"/>
    </xf>
    <xf numFmtId="165" fontId="30" fillId="0" borderId="0" xfId="0" applyFont="1" applyAlignment="1" applyProtection="1">
      <alignment horizontal="right"/>
    </xf>
    <xf numFmtId="165" fontId="42" fillId="0" borderId="0" xfId="0" applyFont="1" applyProtection="1"/>
    <xf numFmtId="165" fontId="42" fillId="0" borderId="0" xfId="0" applyFont="1"/>
    <xf numFmtId="165" fontId="30" fillId="0" borderId="0" xfId="0" applyFont="1" applyFill="1" applyProtection="1"/>
    <xf numFmtId="165" fontId="43" fillId="0" borderId="0" xfId="0" applyFont="1" applyProtection="1"/>
    <xf numFmtId="165" fontId="43" fillId="0" borderId="0" xfId="0" applyFont="1" applyAlignment="1" applyProtection="1">
      <alignment horizontal="right"/>
    </xf>
    <xf numFmtId="165" fontId="46" fillId="0" borderId="0" xfId="0" applyFont="1"/>
    <xf numFmtId="0" fontId="30" fillId="0" borderId="1" xfId="0" applyNumberFormat="1" applyFont="1" applyBorder="1" applyAlignment="1" applyProtection="1">
      <alignment horizontal="center"/>
    </xf>
    <xf numFmtId="165" fontId="43" fillId="0" borderId="38" xfId="0" applyFont="1" applyBorder="1" applyAlignment="1" applyProtection="1">
      <alignment horizontal="center"/>
    </xf>
    <xf numFmtId="165" fontId="42" fillId="0" borderId="1" xfId="0" applyFont="1" applyBorder="1" applyProtection="1"/>
    <xf numFmtId="0" fontId="30" fillId="0" borderId="39" xfId="0" applyNumberFormat="1" applyFont="1" applyBorder="1" applyAlignment="1" applyProtection="1">
      <alignment horizontal="center"/>
    </xf>
    <xf numFmtId="165" fontId="43" fillId="0" borderId="1" xfId="0" applyFont="1" applyBorder="1" applyAlignment="1" applyProtection="1">
      <alignment horizontal="center"/>
    </xf>
    <xf numFmtId="165" fontId="42" fillId="0" borderId="0" xfId="0" applyFont="1" applyBorder="1"/>
    <xf numFmtId="167" fontId="30" fillId="0" borderId="1" xfId="0" applyNumberFormat="1" applyFont="1" applyBorder="1" applyAlignment="1" applyProtection="1">
      <alignment horizontal="center"/>
    </xf>
    <xf numFmtId="165" fontId="43" fillId="0" borderId="39" xfId="0" applyFont="1" applyBorder="1" applyAlignment="1" applyProtection="1">
      <alignment horizontal="center"/>
    </xf>
    <xf numFmtId="165" fontId="43" fillId="0" borderId="0" xfId="0" applyFont="1" applyBorder="1" applyAlignment="1" applyProtection="1">
      <alignment horizontal="center"/>
    </xf>
    <xf numFmtId="165" fontId="42" fillId="0" borderId="0" xfId="0" applyFont="1" applyBorder="1" applyProtection="1"/>
    <xf numFmtId="165" fontId="43" fillId="3" borderId="0" xfId="0" applyFont="1" applyFill="1" applyBorder="1" applyProtection="1"/>
    <xf numFmtId="0" fontId="30" fillId="0" borderId="0" xfId="0" applyNumberFormat="1" applyFont="1" applyBorder="1" applyAlignment="1" applyProtection="1">
      <alignment horizontal="center"/>
    </xf>
    <xf numFmtId="165" fontId="30" fillId="0" borderId="0" xfId="0" applyFont="1" applyProtection="1"/>
    <xf numFmtId="0" fontId="43" fillId="3" borderId="2" xfId="0" applyNumberFormat="1" applyFont="1" applyFill="1" applyBorder="1" applyAlignment="1" applyProtection="1">
      <alignment horizontal="center"/>
    </xf>
    <xf numFmtId="165" fontId="30" fillId="0" borderId="40" xfId="0" applyFont="1" applyBorder="1" applyAlignment="1" applyProtection="1">
      <alignment horizontal="centerContinuous"/>
    </xf>
    <xf numFmtId="165" fontId="30" fillId="0" borderId="39" xfId="0" applyFont="1" applyBorder="1" applyAlignment="1" applyProtection="1">
      <alignment horizontal="center"/>
    </xf>
    <xf numFmtId="0" fontId="30" fillId="0" borderId="0" xfId="0" applyNumberFormat="1" applyFont="1" applyBorder="1" applyAlignment="1" applyProtection="1">
      <alignment horizontal="right"/>
    </xf>
    <xf numFmtId="165" fontId="30" fillId="0" borderId="0" xfId="0" applyFont="1" applyBorder="1" applyAlignment="1" applyProtection="1">
      <alignment horizontal="center"/>
    </xf>
    <xf numFmtId="165" fontId="3" fillId="0" borderId="1" xfId="0" applyFont="1" applyBorder="1" applyAlignment="1" applyProtection="1">
      <alignment horizontal="center"/>
    </xf>
    <xf numFmtId="165" fontId="44" fillId="0" borderId="0" xfId="0" applyFont="1" applyAlignment="1" applyProtection="1">
      <alignment horizontal="right"/>
    </xf>
    <xf numFmtId="165" fontId="45" fillId="9" borderId="2" xfId="0" applyFont="1" applyFill="1" applyBorder="1" applyAlignment="1" applyProtection="1"/>
    <xf numFmtId="165" fontId="0" fillId="9" borderId="3" xfId="0" applyFill="1" applyBorder="1" applyAlignment="1"/>
    <xf numFmtId="165" fontId="0" fillId="9" borderId="4" xfId="0" applyFill="1" applyBorder="1" applyAlignment="1"/>
    <xf numFmtId="165" fontId="43" fillId="0" borderId="41" xfId="0" applyFont="1" applyBorder="1" applyAlignment="1" applyProtection="1">
      <alignment vertical="center"/>
    </xf>
    <xf numFmtId="165" fontId="0" fillId="0" borderId="0" xfId="0" applyBorder="1"/>
    <xf numFmtId="165" fontId="31" fillId="0" borderId="0" xfId="0" applyFont="1" applyBorder="1" applyAlignment="1">
      <alignment horizontal="right"/>
    </xf>
    <xf numFmtId="172" fontId="12" fillId="0" borderId="42" xfId="0" applyNumberFormat="1" applyFont="1" applyBorder="1" applyAlignment="1">
      <alignment horizontal="center"/>
    </xf>
    <xf numFmtId="165" fontId="30" fillId="10" borderId="1" xfId="0" applyFont="1" applyFill="1" applyBorder="1" applyAlignment="1" applyProtection="1">
      <alignment horizontal="center"/>
    </xf>
    <xf numFmtId="0" fontId="41" fillId="0" borderId="1" xfId="0" applyNumberFormat="1" applyFont="1" applyBorder="1" applyAlignment="1" applyProtection="1">
      <alignment horizontal="center"/>
    </xf>
    <xf numFmtId="165" fontId="44" fillId="0" borderId="38" xfId="0" applyFont="1" applyBorder="1" applyAlignment="1" applyProtection="1">
      <alignment horizontal="center"/>
    </xf>
    <xf numFmtId="165" fontId="44" fillId="0" borderId="39" xfId="0" applyFont="1" applyBorder="1" applyAlignment="1" applyProtection="1">
      <alignment horizontal="center"/>
    </xf>
    <xf numFmtId="165" fontId="41" fillId="0" borderId="1" xfId="0" applyFont="1" applyBorder="1" applyAlignment="1" applyProtection="1">
      <alignment horizontal="centerContinuous"/>
    </xf>
    <xf numFmtId="165" fontId="41" fillId="0" borderId="15" xfId="0" applyFont="1" applyFill="1" applyBorder="1" applyAlignment="1" applyProtection="1">
      <alignment horizontal="left"/>
    </xf>
    <xf numFmtId="165" fontId="41" fillId="0" borderId="15" xfId="0" applyFont="1" applyFill="1" applyBorder="1" applyProtection="1"/>
    <xf numFmtId="165" fontId="41" fillId="0" borderId="3" xfId="0" applyFont="1" applyFill="1" applyBorder="1" applyProtection="1"/>
    <xf numFmtId="165" fontId="41" fillId="0" borderId="15" xfId="0" applyFont="1" applyFill="1" applyBorder="1" applyAlignment="1" applyProtection="1">
      <alignment horizontal="center"/>
    </xf>
    <xf numFmtId="164" fontId="41" fillId="0" borderId="15" xfId="0" applyNumberFormat="1" applyFont="1" applyFill="1" applyBorder="1" applyAlignment="1" applyProtection="1">
      <alignment horizontal="center"/>
    </xf>
    <xf numFmtId="165" fontId="0" fillId="0" borderId="3" xfId="0" applyBorder="1" applyProtection="1"/>
    <xf numFmtId="172" fontId="43" fillId="0" borderId="1" xfId="0" applyNumberFormat="1" applyFont="1" applyBorder="1" applyAlignment="1" applyProtection="1">
      <alignment horizontal="right"/>
    </xf>
    <xf numFmtId="0" fontId="3" fillId="0" borderId="39" xfId="0" applyNumberFormat="1" applyFont="1" applyBorder="1" applyAlignment="1" applyProtection="1">
      <alignment horizontal="center"/>
    </xf>
    <xf numFmtId="165" fontId="2" fillId="0" borderId="0" xfId="0" applyFont="1" applyAlignment="1" applyProtection="1">
      <alignment horizontal="right"/>
    </xf>
    <xf numFmtId="165" fontId="50" fillId="10" borderId="0" xfId="0" applyFont="1" applyFill="1" applyBorder="1" applyAlignment="1" applyProtection="1">
      <alignment horizontal="center"/>
    </xf>
    <xf numFmtId="167" fontId="23" fillId="0" borderId="1" xfId="0" applyNumberFormat="1" applyFont="1" applyBorder="1" applyAlignment="1" applyProtection="1">
      <alignment horizontal="center"/>
      <protection locked="0"/>
    </xf>
    <xf numFmtId="165" fontId="0" fillId="0" borderId="0" xfId="0" applyBorder="1" applyAlignment="1">
      <alignment horizontal="left"/>
    </xf>
    <xf numFmtId="165" fontId="12" fillId="0" borderId="0" xfId="0" applyFont="1" applyAlignment="1" applyProtection="1">
      <alignment horizontal="center"/>
    </xf>
    <xf numFmtId="167" fontId="12" fillId="0" borderId="0" xfId="0" applyNumberFormat="1" applyFont="1" applyAlignment="1" applyProtection="1">
      <alignment horizontal="center"/>
    </xf>
    <xf numFmtId="167" fontId="12" fillId="0" borderId="5" xfId="0" applyNumberFormat="1" applyFont="1" applyBorder="1" applyAlignment="1" applyProtection="1">
      <alignment horizontal="center"/>
    </xf>
    <xf numFmtId="167" fontId="7" fillId="3" borderId="1" xfId="0" applyNumberFormat="1" applyFont="1" applyFill="1" applyBorder="1" applyAlignment="1" applyProtection="1">
      <alignment horizontal="center"/>
      <protection locked="0"/>
    </xf>
    <xf numFmtId="167" fontId="12" fillId="0" borderId="1" xfId="0" applyNumberFormat="1" applyFont="1" applyBorder="1" applyAlignment="1" applyProtection="1">
      <alignment horizontal="center"/>
    </xf>
    <xf numFmtId="167" fontId="14" fillId="0" borderId="1" xfId="0" applyNumberFormat="1" applyFont="1" applyBorder="1" applyAlignment="1" applyProtection="1">
      <alignment horizontal="center"/>
    </xf>
    <xf numFmtId="0" fontId="14" fillId="0" borderId="1" xfId="0" applyNumberFormat="1" applyFont="1" applyBorder="1" applyAlignment="1" applyProtection="1">
      <alignment horizontal="center"/>
    </xf>
    <xf numFmtId="165" fontId="17" fillId="0" borderId="0" xfId="0" applyFont="1" applyAlignment="1" applyProtection="1">
      <alignment horizontal="center"/>
    </xf>
    <xf numFmtId="171" fontId="12" fillId="0" borderId="5" xfId="0" applyNumberFormat="1" applyFont="1" applyBorder="1" applyAlignment="1" applyProtection="1">
      <alignment horizontal="center"/>
    </xf>
    <xf numFmtId="171" fontId="7" fillId="3" borderId="5" xfId="0" applyNumberFormat="1" applyFont="1" applyFill="1" applyBorder="1" applyAlignment="1" applyProtection="1">
      <alignment horizontal="center"/>
      <protection locked="0"/>
    </xf>
    <xf numFmtId="171" fontId="7" fillId="3" borderId="1" xfId="0" applyNumberFormat="1" applyFont="1" applyFill="1" applyBorder="1" applyAlignment="1" applyProtection="1">
      <alignment horizontal="center"/>
      <protection locked="0"/>
    </xf>
    <xf numFmtId="171" fontId="7" fillId="3" borderId="8" xfId="0" applyNumberFormat="1" applyFont="1" applyFill="1" applyBorder="1" applyAlignment="1" applyProtection="1">
      <alignment horizontal="center"/>
      <protection locked="0"/>
    </xf>
    <xf numFmtId="171" fontId="7" fillId="3" borderId="16" xfId="0" applyNumberFormat="1" applyFont="1" applyFill="1" applyBorder="1" applyAlignment="1" applyProtection="1">
      <alignment horizontal="center"/>
      <protection locked="0"/>
    </xf>
    <xf numFmtId="171" fontId="12" fillId="0" borderId="1" xfId="0" applyNumberFormat="1" applyFont="1" applyBorder="1" applyAlignment="1" applyProtection="1">
      <alignment horizontal="center"/>
    </xf>
    <xf numFmtId="0" fontId="12" fillId="0" borderId="1" xfId="0" applyNumberFormat="1" applyFont="1" applyBorder="1" applyAlignment="1" applyProtection="1">
      <alignment horizontal="center"/>
    </xf>
    <xf numFmtId="165" fontId="51" fillId="0" borderId="1" xfId="0" applyFont="1" applyBorder="1" applyAlignment="1" applyProtection="1">
      <alignment horizontal="center"/>
    </xf>
    <xf numFmtId="165" fontId="52" fillId="0" borderId="1" xfId="0" applyFont="1" applyBorder="1" applyAlignment="1" applyProtection="1">
      <alignment horizontal="center"/>
    </xf>
    <xf numFmtId="165" fontId="51" fillId="0" borderId="1" xfId="0" applyFont="1" applyBorder="1" applyProtection="1"/>
    <xf numFmtId="165" fontId="51" fillId="0" borderId="0" xfId="0" applyFont="1" applyProtection="1"/>
    <xf numFmtId="165" fontId="30" fillId="0" borderId="1" xfId="0" applyFont="1" applyBorder="1" applyAlignment="1" applyProtection="1">
      <alignment horizontal="center"/>
    </xf>
    <xf numFmtId="165" fontId="47" fillId="0" borderId="1" xfId="0" applyFont="1" applyBorder="1" applyAlignment="1">
      <alignment horizontal="center"/>
    </xf>
    <xf numFmtId="165" fontId="30" fillId="0" borderId="2" xfId="0" applyFont="1" applyBorder="1" applyAlignment="1" applyProtection="1">
      <alignment horizontal="center"/>
    </xf>
    <xf numFmtId="165" fontId="42" fillId="10" borderId="1" xfId="0" applyFont="1" applyFill="1" applyBorder="1" applyAlignment="1" applyProtection="1">
      <alignment horizontal="center"/>
    </xf>
    <xf numFmtId="165" fontId="43" fillId="0" borderId="0" xfId="0" applyFont="1" applyAlignment="1">
      <alignment horizontal="right"/>
    </xf>
    <xf numFmtId="165" fontId="2" fillId="0" borderId="43" xfId="0" applyFont="1" applyBorder="1" applyAlignment="1">
      <alignment horizontal="center" wrapText="1"/>
    </xf>
    <xf numFmtId="165" fontId="14" fillId="0" borderId="5" xfId="0" applyFont="1" applyBorder="1" applyAlignment="1" applyProtection="1">
      <alignment horizontal="right"/>
    </xf>
    <xf numFmtId="165" fontId="0" fillId="0" borderId="0" xfId="0" applyAlignment="1" applyProtection="1">
      <alignment horizontal="center"/>
    </xf>
    <xf numFmtId="165" fontId="15" fillId="3" borderId="6" xfId="0" applyFont="1" applyFill="1" applyBorder="1" applyAlignment="1" applyProtection="1">
      <alignment horizontal="left"/>
      <protection locked="0"/>
    </xf>
    <xf numFmtId="165" fontId="15" fillId="3" borderId="2" xfId="0" applyFont="1" applyFill="1" applyBorder="1" applyAlignment="1" applyProtection="1">
      <alignment horizontal="left"/>
      <protection locked="0"/>
    </xf>
    <xf numFmtId="49" fontId="8" fillId="0" borderId="0" xfId="0" applyNumberFormat="1" applyFont="1" applyAlignment="1">
      <alignment horizontal="center"/>
    </xf>
    <xf numFmtId="165" fontId="46" fillId="0" borderId="0" xfId="0" applyFont="1" applyAlignment="1"/>
    <xf numFmtId="49" fontId="46" fillId="0" borderId="0" xfId="0" applyNumberFormat="1" applyFont="1" applyAlignment="1"/>
    <xf numFmtId="165" fontId="24" fillId="0" borderId="0" xfId="0" applyFont="1"/>
    <xf numFmtId="165" fontId="53" fillId="0" borderId="0" xfId="0" applyFont="1" applyProtection="1"/>
    <xf numFmtId="165" fontId="53" fillId="0" borderId="0" xfId="0" applyFont="1" applyAlignment="1" applyProtection="1">
      <alignment horizontal="right" vertical="top"/>
    </xf>
    <xf numFmtId="165" fontId="54" fillId="0" borderId="0" xfId="0" applyFont="1" applyAlignment="1" applyProtection="1">
      <alignment horizontal="centerContinuous"/>
    </xf>
    <xf numFmtId="165" fontId="10" fillId="0" borderId="0" xfId="0" applyFont="1" applyAlignment="1" applyProtection="1">
      <alignment horizontal="centerContinuous"/>
    </xf>
    <xf numFmtId="165" fontId="54" fillId="0" borderId="0" xfId="0" applyFont="1" applyProtection="1"/>
    <xf numFmtId="165" fontId="54" fillId="0" borderId="0" xfId="0" applyFont="1" applyAlignment="1" applyProtection="1">
      <alignment horizontal="right"/>
    </xf>
    <xf numFmtId="165" fontId="10" fillId="0" borderId="15" xfId="0" applyFont="1" applyBorder="1" applyProtection="1"/>
    <xf numFmtId="165" fontId="54" fillId="0" borderId="15" xfId="0" applyFont="1" applyBorder="1" applyProtection="1"/>
    <xf numFmtId="165" fontId="8" fillId="0" borderId="15" xfId="0" applyFont="1" applyBorder="1" applyProtection="1"/>
    <xf numFmtId="165" fontId="54" fillId="0" borderId="20" xfId="0" applyFont="1" applyBorder="1" applyProtection="1"/>
    <xf numFmtId="165" fontId="55" fillId="0" borderId="0" xfId="0" applyFont="1" applyAlignment="1" applyProtection="1">
      <alignment horizontal="centerContinuous"/>
    </xf>
    <xf numFmtId="165" fontId="56" fillId="0" borderId="0" xfId="0" applyFont="1" applyAlignment="1" applyProtection="1">
      <alignment horizontal="right"/>
    </xf>
    <xf numFmtId="165" fontId="10" fillId="0" borderId="15" xfId="0" applyFont="1" applyBorder="1" applyAlignment="1" applyProtection="1">
      <alignment horizontal="left"/>
    </xf>
    <xf numFmtId="165" fontId="54" fillId="0" borderId="15" xfId="0" applyFont="1" applyBorder="1" applyAlignment="1" applyProtection="1">
      <alignment horizontal="center"/>
    </xf>
    <xf numFmtId="39" fontId="54" fillId="0" borderId="0" xfId="0" applyNumberFormat="1" applyFont="1" applyAlignment="1" applyProtection="1">
      <alignment horizontal="centerContinuous"/>
    </xf>
    <xf numFmtId="165" fontId="10" fillId="0" borderId="15" xfId="0" applyFont="1" applyBorder="1"/>
    <xf numFmtId="165" fontId="54" fillId="0" borderId="15" xfId="0" applyFont="1" applyBorder="1" applyAlignment="1">
      <alignment horizontal="centerContinuous"/>
    </xf>
    <xf numFmtId="165" fontId="8" fillId="0" borderId="0" xfId="0" applyFont="1"/>
    <xf numFmtId="39" fontId="54" fillId="0" borderId="0" xfId="0" applyNumberFormat="1" applyFont="1" applyProtection="1"/>
    <xf numFmtId="39" fontId="55" fillId="0" borderId="0" xfId="0" applyNumberFormat="1" applyFont="1" applyAlignment="1" applyProtection="1">
      <alignment horizontal="center"/>
    </xf>
    <xf numFmtId="39" fontId="55" fillId="0" borderId="0" xfId="0" applyNumberFormat="1" applyFont="1" applyProtection="1"/>
    <xf numFmtId="165" fontId="53" fillId="0" borderId="0" xfId="0" applyFont="1" applyAlignment="1" applyProtection="1">
      <alignment horizontal="right"/>
    </xf>
    <xf numFmtId="165" fontId="0" fillId="0" borderId="0" xfId="0" applyAlignment="1" applyProtection="1">
      <alignment horizontal="centerContinuous"/>
    </xf>
    <xf numFmtId="165" fontId="10" fillId="0" borderId="0" xfId="0" applyFont="1"/>
    <xf numFmtId="165" fontId="54" fillId="0" borderId="44" xfId="0" applyFont="1" applyBorder="1" applyAlignment="1" applyProtection="1">
      <alignment horizontal="center"/>
    </xf>
    <xf numFmtId="165" fontId="54" fillId="0" borderId="45" xfId="0" applyFont="1" applyBorder="1" applyProtection="1"/>
    <xf numFmtId="165" fontId="54" fillId="0" borderId="46" xfId="0" applyFont="1" applyBorder="1" applyProtection="1"/>
    <xf numFmtId="165" fontId="54" fillId="0" borderId="44" xfId="0" applyFont="1" applyBorder="1" applyAlignment="1" applyProtection="1">
      <alignment horizontal="centerContinuous"/>
    </xf>
    <xf numFmtId="165" fontId="54" fillId="0" borderId="45" xfId="0" applyFont="1" applyBorder="1" applyAlignment="1" applyProtection="1">
      <alignment horizontal="centerContinuous"/>
    </xf>
    <xf numFmtId="165" fontId="10" fillId="0" borderId="46" xfId="0" applyFont="1" applyBorder="1" applyAlignment="1" applyProtection="1">
      <alignment horizontal="centerContinuous"/>
    </xf>
    <xf numFmtId="165" fontId="54" fillId="0" borderId="46" xfId="0" applyFont="1" applyBorder="1" applyAlignment="1" applyProtection="1">
      <alignment horizontal="centerContinuous"/>
    </xf>
    <xf numFmtId="165" fontId="54" fillId="0" borderId="23" xfId="0" applyFont="1" applyBorder="1" applyAlignment="1" applyProtection="1">
      <alignment horizontal="centerContinuous"/>
    </xf>
    <xf numFmtId="165" fontId="54" fillId="0" borderId="20" xfId="0" applyFont="1" applyBorder="1" applyAlignment="1" applyProtection="1">
      <alignment horizontal="centerContinuous"/>
    </xf>
    <xf numFmtId="165" fontId="54" fillId="0" borderId="21" xfId="0" applyFont="1" applyBorder="1" applyAlignment="1" applyProtection="1">
      <alignment horizontal="centerContinuous"/>
    </xf>
    <xf numFmtId="165" fontId="10" fillId="0" borderId="21" xfId="0" applyFont="1" applyBorder="1" applyAlignment="1" applyProtection="1">
      <alignment horizontal="centerContinuous"/>
    </xf>
    <xf numFmtId="165" fontId="10" fillId="0" borderId="20" xfId="0" applyFont="1" applyBorder="1" applyAlignment="1" applyProtection="1">
      <alignment horizontal="centerContinuous"/>
    </xf>
    <xf numFmtId="165" fontId="54" fillId="0" borderId="16" xfId="0" applyFont="1" applyBorder="1" applyAlignment="1" applyProtection="1">
      <alignment horizontal="center"/>
    </xf>
    <xf numFmtId="165" fontId="10" fillId="0" borderId="39" xfId="0" applyFont="1" applyBorder="1" applyProtection="1"/>
    <xf numFmtId="165" fontId="54" fillId="0" borderId="0" xfId="0" applyFont="1" applyAlignment="1" applyProtection="1">
      <alignment horizontal="center"/>
    </xf>
    <xf numFmtId="165" fontId="10" fillId="0" borderId="0" xfId="0" applyFont="1" applyProtection="1"/>
    <xf numFmtId="165" fontId="53" fillId="0" borderId="40" xfId="0" applyFont="1" applyBorder="1" applyAlignment="1" applyProtection="1">
      <alignment horizontal="center" vertical="justify" textRotation="180"/>
    </xf>
    <xf numFmtId="165" fontId="57" fillId="0" borderId="38" xfId="0" applyFont="1" applyBorder="1" applyAlignment="1" applyProtection="1">
      <alignment horizontal="center" vertical="justify" textRotation="180"/>
    </xf>
    <xf numFmtId="165" fontId="0" fillId="0" borderId="0" xfId="0" applyAlignment="1">
      <alignment horizontal="center" vertical="justify"/>
    </xf>
    <xf numFmtId="165" fontId="57" fillId="0" borderId="40" xfId="0" applyFont="1" applyBorder="1" applyAlignment="1" applyProtection="1">
      <alignment horizontal="center" vertical="justify" textRotation="180"/>
    </xf>
    <xf numFmtId="165" fontId="57" fillId="0" borderId="29" xfId="0" applyFont="1" applyBorder="1" applyAlignment="1" applyProtection="1">
      <alignment horizontal="center" vertical="justify" textRotation="180"/>
    </xf>
    <xf numFmtId="165" fontId="54" fillId="0" borderId="0" xfId="0" applyFont="1" applyAlignment="1" applyProtection="1">
      <alignment horizontal="center" vertical="justify"/>
    </xf>
    <xf numFmtId="165" fontId="54" fillId="0" borderId="0" xfId="0" applyFont="1" applyAlignment="1" applyProtection="1">
      <alignment horizontal="left"/>
    </xf>
    <xf numFmtId="165" fontId="56" fillId="0" borderId="0" xfId="0" applyFont="1" applyProtection="1"/>
    <xf numFmtId="165" fontId="8" fillId="0" borderId="15" xfId="0" applyFont="1" applyBorder="1"/>
    <xf numFmtId="165" fontId="0" fillId="0" borderId="15" xfId="0" applyBorder="1"/>
    <xf numFmtId="165" fontId="54" fillId="0" borderId="38" xfId="0" applyFont="1" applyBorder="1" applyAlignment="1" applyProtection="1">
      <alignment horizontal="center"/>
    </xf>
    <xf numFmtId="165" fontId="54" fillId="0" borderId="29" xfId="0" applyFont="1" applyBorder="1" applyAlignment="1" applyProtection="1">
      <alignment horizontal="center"/>
    </xf>
    <xf numFmtId="165" fontId="54" fillId="0" borderId="3" xfId="0" applyFont="1" applyBorder="1" applyAlignment="1" applyProtection="1">
      <alignment horizontal="centerContinuous"/>
    </xf>
    <xf numFmtId="165" fontId="54" fillId="0" borderId="4" xfId="0" applyFont="1" applyBorder="1" applyAlignment="1" applyProtection="1">
      <alignment horizontal="centerContinuous"/>
    </xf>
    <xf numFmtId="165" fontId="54" fillId="0" borderId="45" xfId="0" applyFont="1" applyBorder="1" applyAlignment="1" applyProtection="1">
      <alignment horizontal="center"/>
    </xf>
    <xf numFmtId="165" fontId="8" fillId="0" borderId="38" xfId="0" applyFont="1" applyBorder="1" applyAlignment="1" applyProtection="1">
      <alignment horizontal="center"/>
    </xf>
    <xf numFmtId="165" fontId="54" fillId="0" borderId="47" xfId="0" applyFont="1" applyBorder="1" applyAlignment="1" applyProtection="1">
      <alignment horizontal="center"/>
    </xf>
    <xf numFmtId="165" fontId="54" fillId="0" borderId="21" xfId="0" applyFont="1" applyBorder="1" applyAlignment="1" applyProtection="1">
      <alignment horizontal="center"/>
    </xf>
    <xf numFmtId="165" fontId="56" fillId="0" borderId="47" xfId="0" applyFont="1" applyBorder="1" applyAlignment="1" applyProtection="1">
      <alignment horizontal="center"/>
    </xf>
    <xf numFmtId="165" fontId="10" fillId="0" borderId="39" xfId="0" applyFont="1" applyBorder="1" applyAlignment="1" applyProtection="1">
      <alignment horizontal="center"/>
    </xf>
    <xf numFmtId="165" fontId="54" fillId="0" borderId="4" xfId="0" applyFont="1" applyBorder="1" applyAlignment="1" applyProtection="1">
      <alignment horizontal="center"/>
    </xf>
    <xf numFmtId="165" fontId="56" fillId="0" borderId="0" xfId="0" applyFont="1" applyAlignment="1" applyProtection="1">
      <alignment horizontal="center"/>
    </xf>
    <xf numFmtId="165" fontId="8" fillId="0" borderId="0" xfId="0" applyFont="1" applyAlignment="1" applyProtection="1">
      <alignment horizontal="center"/>
    </xf>
    <xf numFmtId="165" fontId="10" fillId="0" borderId="0" xfId="0" applyFont="1" applyAlignment="1" applyProtection="1">
      <alignment horizontal="center"/>
    </xf>
    <xf numFmtId="165" fontId="54" fillId="0" borderId="0" xfId="0" applyFont="1" applyAlignment="1">
      <alignment horizontal="right"/>
    </xf>
    <xf numFmtId="165" fontId="0" fillId="0" borderId="15" xfId="0" applyBorder="1" applyAlignment="1">
      <alignment horizontal="center"/>
    </xf>
    <xf numFmtId="165" fontId="54" fillId="0" borderId="48" xfId="0" applyFont="1" applyBorder="1" applyAlignment="1" applyProtection="1">
      <alignment horizontal="centerContinuous"/>
    </xf>
    <xf numFmtId="165" fontId="0" fillId="0" borderId="49" xfId="0" applyBorder="1" applyAlignment="1" applyProtection="1">
      <alignment horizontal="centerContinuous"/>
    </xf>
    <xf numFmtId="165" fontId="0" fillId="0" borderId="50" xfId="0" applyBorder="1" applyAlignment="1" applyProtection="1">
      <alignment horizontal="centerContinuous"/>
    </xf>
    <xf numFmtId="165" fontId="54" fillId="0" borderId="49" xfId="0" applyFont="1" applyBorder="1" applyAlignment="1" applyProtection="1">
      <alignment horizontal="centerContinuous"/>
    </xf>
    <xf numFmtId="165" fontId="54" fillId="0" borderId="38" xfId="0" applyFont="1" applyBorder="1" applyProtection="1"/>
    <xf numFmtId="165" fontId="54" fillId="0" borderId="38" xfId="0" applyFont="1" applyBorder="1" applyAlignment="1" applyProtection="1">
      <alignment horizontal="centerContinuous"/>
    </xf>
    <xf numFmtId="165" fontId="54" fillId="0" borderId="51" xfId="0" applyFont="1" applyBorder="1" applyAlignment="1" applyProtection="1">
      <alignment horizontal="right"/>
    </xf>
    <xf numFmtId="165" fontId="54" fillId="0" borderId="38" xfId="0" applyFont="1" applyBorder="1" applyAlignment="1" applyProtection="1">
      <alignment horizontal="right"/>
    </xf>
    <xf numFmtId="165" fontId="10" fillId="0" borderId="38" xfId="0" applyFont="1" applyBorder="1" applyProtection="1"/>
    <xf numFmtId="165" fontId="54" fillId="0" borderId="40" xfId="0" applyFont="1" applyBorder="1" applyAlignment="1" applyProtection="1">
      <alignment horizontal="center"/>
    </xf>
    <xf numFmtId="165" fontId="54" fillId="0" borderId="40" xfId="0" applyFont="1" applyBorder="1" applyAlignment="1" applyProtection="1">
      <alignment horizontal="centerContinuous"/>
    </xf>
    <xf numFmtId="165" fontId="54" fillId="0" borderId="41" xfId="0" applyFont="1" applyBorder="1" applyAlignment="1" applyProtection="1">
      <alignment horizontal="center"/>
    </xf>
    <xf numFmtId="165" fontId="10" fillId="0" borderId="40" xfId="0" applyFont="1" applyBorder="1" applyAlignment="1" applyProtection="1">
      <alignment horizontal="center"/>
    </xf>
    <xf numFmtId="165" fontId="54" fillId="0" borderId="39" xfId="0" applyFont="1" applyBorder="1" applyAlignment="1" applyProtection="1">
      <alignment horizontal="center"/>
    </xf>
    <xf numFmtId="165" fontId="54" fillId="0" borderId="17" xfId="0" applyFont="1" applyBorder="1" applyAlignment="1" applyProtection="1">
      <alignment horizontal="center"/>
    </xf>
    <xf numFmtId="165" fontId="54" fillId="0" borderId="39" xfId="0" applyFont="1" applyBorder="1" applyAlignment="1" applyProtection="1">
      <alignment horizontal="centerContinuous"/>
    </xf>
    <xf numFmtId="164" fontId="0" fillId="0" borderId="1" xfId="0" applyNumberFormat="1" applyBorder="1" applyProtection="1"/>
    <xf numFmtId="165" fontId="0" fillId="0" borderId="1" xfId="0" applyBorder="1" applyAlignment="1">
      <alignment horizontal="center"/>
    </xf>
    <xf numFmtId="174" fontId="0" fillId="0" borderId="1" xfId="0" applyNumberFormat="1" applyBorder="1" applyProtection="1"/>
    <xf numFmtId="167" fontId="0" fillId="0" borderId="1" xfId="0" applyNumberFormat="1" applyBorder="1" applyProtection="1"/>
    <xf numFmtId="169" fontId="0" fillId="0" borderId="1" xfId="0" applyNumberFormat="1" applyBorder="1" applyProtection="1"/>
    <xf numFmtId="170" fontId="0" fillId="0" borderId="1" xfId="0" applyNumberFormat="1" applyBorder="1" applyProtection="1"/>
    <xf numFmtId="176" fontId="10" fillId="3" borderId="39" xfId="0" applyNumberFormat="1" applyFont="1" applyFill="1" applyBorder="1" applyAlignment="1" applyProtection="1">
      <alignment horizontal="center"/>
    </xf>
    <xf numFmtId="165" fontId="10" fillId="0" borderId="15" xfId="0" applyNumberFormat="1" applyFont="1" applyBorder="1" applyAlignment="1" applyProtection="1">
      <alignment horizontal="center"/>
    </xf>
    <xf numFmtId="165" fontId="10" fillId="0" borderId="17" xfId="0" applyFont="1" applyBorder="1" applyAlignment="1" applyProtection="1">
      <alignment horizontal="center"/>
    </xf>
    <xf numFmtId="165" fontId="10" fillId="0" borderId="39" xfId="0" applyFont="1" applyBorder="1" applyAlignment="1">
      <alignment horizontal="center"/>
    </xf>
    <xf numFmtId="165" fontId="10" fillId="0" borderId="17" xfId="0" applyFont="1" applyBorder="1" applyAlignment="1">
      <alignment horizontal="center"/>
    </xf>
    <xf numFmtId="164" fontId="0" fillId="0" borderId="0" xfId="0" applyNumberFormat="1" applyProtection="1"/>
    <xf numFmtId="165" fontId="0" fillId="0" borderId="15" xfId="0" applyBorder="1" applyProtection="1"/>
    <xf numFmtId="2" fontId="10" fillId="0" borderId="15" xfId="0" applyNumberFormat="1" applyFont="1" applyBorder="1" applyAlignment="1" applyProtection="1">
      <alignment horizontal="center"/>
    </xf>
    <xf numFmtId="2" fontId="10" fillId="0" borderId="39" xfId="0" applyNumberFormat="1" applyFont="1" applyBorder="1" applyAlignment="1" applyProtection="1">
      <alignment horizontal="center"/>
    </xf>
    <xf numFmtId="1" fontId="10" fillId="0" borderId="39" xfId="0" applyNumberFormat="1" applyFont="1" applyBorder="1" applyAlignment="1" applyProtection="1">
      <alignment horizontal="center"/>
    </xf>
    <xf numFmtId="164" fontId="24" fillId="0" borderId="1" xfId="0" applyNumberFormat="1" applyFont="1" applyBorder="1" applyProtection="1"/>
    <xf numFmtId="165" fontId="24" fillId="0" borderId="1" xfId="0" applyFont="1" applyBorder="1" applyAlignment="1">
      <alignment horizontal="center"/>
    </xf>
    <xf numFmtId="174" fontId="24" fillId="0" borderId="1" xfId="0" applyNumberFormat="1" applyFont="1" applyBorder="1" applyProtection="1"/>
    <xf numFmtId="167" fontId="24" fillId="0" borderId="1" xfId="0" applyNumberFormat="1" applyFont="1" applyBorder="1" applyProtection="1"/>
    <xf numFmtId="169" fontId="24" fillId="0" borderId="1" xfId="0" applyNumberFormat="1" applyFont="1" applyBorder="1" applyProtection="1"/>
    <xf numFmtId="170" fontId="24" fillId="0" borderId="1" xfId="0" applyNumberFormat="1" applyFont="1" applyBorder="1" applyProtection="1"/>
    <xf numFmtId="165" fontId="53" fillId="0" borderId="0" xfId="0" applyFont="1"/>
    <xf numFmtId="165" fontId="53" fillId="0" borderId="0" xfId="0" applyFont="1" applyAlignment="1">
      <alignment horizontal="right"/>
    </xf>
    <xf numFmtId="165" fontId="10" fillId="0" borderId="15" xfId="0" applyFont="1" applyBorder="1" applyAlignment="1">
      <alignment horizontal="center"/>
    </xf>
    <xf numFmtId="165" fontId="54" fillId="0" borderId="52" xfId="0" applyFont="1" applyBorder="1" applyAlignment="1">
      <alignment horizontal="right"/>
    </xf>
    <xf numFmtId="164" fontId="10" fillId="0" borderId="7" xfId="0" applyNumberFormat="1" applyFont="1" applyBorder="1" applyAlignment="1" applyProtection="1">
      <alignment horizontal="left"/>
    </xf>
    <xf numFmtId="165" fontId="0" fillId="0" borderId="52" xfId="0" applyBorder="1"/>
    <xf numFmtId="174" fontId="10" fillId="0" borderId="7" xfId="0" applyNumberFormat="1" applyFont="1" applyBorder="1" applyAlignment="1" applyProtection="1">
      <alignment horizontal="center"/>
    </xf>
    <xf numFmtId="165" fontId="10" fillId="0" borderId="7" xfId="0" applyFont="1" applyBorder="1" applyAlignment="1">
      <alignment horizontal="center"/>
    </xf>
    <xf numFmtId="165" fontId="10" fillId="0" borderId="15" xfId="0" applyFont="1" applyBorder="1" applyAlignment="1">
      <alignment horizontal="left"/>
    </xf>
    <xf numFmtId="174" fontId="10" fillId="0" borderId="15" xfId="0" applyNumberFormat="1" applyFont="1" applyBorder="1" applyAlignment="1" applyProtection="1">
      <alignment horizontal="center"/>
    </xf>
    <xf numFmtId="165" fontId="54" fillId="0" borderId="0" xfId="0" applyFont="1" applyAlignment="1">
      <alignment horizontal="centerContinuous"/>
    </xf>
    <xf numFmtId="165" fontId="10" fillId="0" borderId="10" xfId="0" applyFont="1" applyBorder="1"/>
    <xf numFmtId="0" fontId="58" fillId="0" borderId="0" xfId="2" applyNumberFormat="1" applyFont="1" applyFill="1" applyAlignment="1">
      <alignment horizontal="left"/>
    </xf>
    <xf numFmtId="0" fontId="59" fillId="0" borderId="0" xfId="2" applyNumberFormat="1" applyFill="1" applyBorder="1"/>
    <xf numFmtId="0" fontId="59" fillId="0" borderId="0" xfId="2" applyNumberFormat="1" applyFill="1"/>
    <xf numFmtId="0" fontId="59" fillId="0" borderId="53" xfId="2" applyNumberFormat="1" applyFill="1" applyBorder="1"/>
    <xf numFmtId="0" fontId="59" fillId="11" borderId="53" xfId="2" applyNumberFormat="1" applyFill="1" applyBorder="1"/>
    <xf numFmtId="0" fontId="60" fillId="11" borderId="53" xfId="2" applyNumberFormat="1" applyFont="1" applyFill="1" applyBorder="1"/>
    <xf numFmtId="0" fontId="59" fillId="0" borderId="54" xfId="2" applyNumberFormat="1" applyFill="1" applyBorder="1"/>
    <xf numFmtId="0" fontId="63" fillId="0" borderId="25" xfId="2" applyNumberFormat="1" applyFont="1" applyFill="1" applyBorder="1"/>
    <xf numFmtId="0" fontId="64" fillId="0" borderId="26" xfId="2" applyNumberFormat="1" applyFont="1" applyFill="1" applyBorder="1" applyAlignment="1">
      <alignment horizontal="center"/>
    </xf>
    <xf numFmtId="0" fontId="64" fillId="0" borderId="55" xfId="2" applyNumberFormat="1" applyFont="1" applyFill="1" applyBorder="1" applyAlignment="1">
      <alignment horizontal="center"/>
    </xf>
    <xf numFmtId="0" fontId="63" fillId="0" borderId="28" xfId="2" applyNumberFormat="1" applyFont="1" applyFill="1" applyBorder="1" applyAlignment="1">
      <alignment horizontal="center"/>
    </xf>
    <xf numFmtId="0" fontId="64" fillId="0" borderId="29" xfId="2" applyNumberFormat="1" applyFont="1" applyFill="1" applyBorder="1" applyAlignment="1">
      <alignment horizontal="center"/>
    </xf>
    <xf numFmtId="0" fontId="64" fillId="0" borderId="56" xfId="2" applyNumberFormat="1" applyFont="1" applyFill="1" applyBorder="1" applyAlignment="1">
      <alignment horizontal="center"/>
    </xf>
    <xf numFmtId="0" fontId="63" fillId="0" borderId="31" xfId="2" applyNumberFormat="1" applyFont="1" applyFill="1" applyBorder="1"/>
    <xf numFmtId="0" fontId="64" fillId="0" borderId="21" xfId="2" applyNumberFormat="1" applyFont="1" applyFill="1" applyBorder="1" applyAlignment="1">
      <alignment horizontal="center"/>
    </xf>
    <xf numFmtId="0" fontId="64" fillId="0" borderId="24" xfId="2" applyNumberFormat="1" applyFont="1" applyFill="1" applyBorder="1" applyAlignment="1">
      <alignment horizontal="center"/>
    </xf>
    <xf numFmtId="0" fontId="63" fillId="0" borderId="33" xfId="2" applyNumberFormat="1" applyFont="1" applyFill="1" applyBorder="1" applyAlignment="1">
      <alignment horizontal="right"/>
    </xf>
    <xf numFmtId="172" fontId="65" fillId="10" borderId="16" xfId="2" applyNumberFormat="1" applyFont="1" applyFill="1" applyBorder="1" applyAlignment="1" applyProtection="1">
      <alignment horizontal="center"/>
    </xf>
    <xf numFmtId="0" fontId="66" fillId="12" borderId="0" xfId="0" applyNumberFormat="1" applyFont="1" applyFill="1" applyAlignment="1" applyProtection="1"/>
    <xf numFmtId="172" fontId="67" fillId="0" borderId="16" xfId="2" applyNumberFormat="1" applyFont="1" applyFill="1" applyBorder="1" applyAlignment="1" applyProtection="1">
      <alignment horizontal="center"/>
      <protection locked="0"/>
    </xf>
    <xf numFmtId="0" fontId="40" fillId="12" borderId="0" xfId="0" applyNumberFormat="1" applyFont="1" applyFill="1" applyAlignment="1" applyProtection="1"/>
    <xf numFmtId="172" fontId="67" fillId="13" borderId="18" xfId="2" applyNumberFormat="1" applyFont="1" applyFill="1" applyBorder="1" applyAlignment="1" applyProtection="1">
      <alignment horizontal="center"/>
      <protection locked="0"/>
    </xf>
    <xf numFmtId="0" fontId="63" fillId="0" borderId="31" xfId="2" applyNumberFormat="1" applyFont="1" applyFill="1" applyBorder="1" applyAlignment="1">
      <alignment horizontal="right"/>
    </xf>
    <xf numFmtId="172" fontId="65" fillId="10" borderId="21" xfId="2" applyNumberFormat="1" applyFont="1" applyFill="1" applyBorder="1" applyAlignment="1" applyProtection="1">
      <alignment horizontal="center"/>
    </xf>
    <xf numFmtId="172" fontId="67" fillId="13" borderId="21" xfId="2" applyNumberFormat="1" applyFont="1" applyFill="1" applyBorder="1" applyAlignment="1" applyProtection="1">
      <alignment horizontal="center"/>
      <protection locked="0"/>
    </xf>
    <xf numFmtId="172" fontId="67" fillId="13" borderId="24" xfId="2" applyNumberFormat="1" applyFont="1" applyFill="1" applyBorder="1" applyAlignment="1" applyProtection="1">
      <alignment horizontal="center"/>
      <protection locked="0"/>
    </xf>
    <xf numFmtId="0" fontId="68" fillId="0" borderId="0" xfId="2" applyNumberFormat="1" applyFont="1" applyFill="1"/>
    <xf numFmtId="172" fontId="64" fillId="0" borderId="0" xfId="2" applyNumberFormat="1" applyFont="1" applyFill="1" applyAlignment="1" applyProtection="1">
      <alignment horizontal="center"/>
    </xf>
    <xf numFmtId="172" fontId="64" fillId="0" borderId="0" xfId="2" applyNumberFormat="1" applyFont="1" applyFill="1" applyAlignment="1">
      <alignment horizontal="center"/>
    </xf>
    <xf numFmtId="0" fontId="68" fillId="0" borderId="57" xfId="2" applyNumberFormat="1" applyFont="1" applyFill="1" applyBorder="1" applyAlignment="1"/>
    <xf numFmtId="172" fontId="64" fillId="0" borderId="57" xfId="2" applyNumberFormat="1" applyFont="1" applyFill="1" applyBorder="1" applyAlignment="1" applyProtection="1">
      <alignment horizontal="center"/>
    </xf>
    <xf numFmtId="172" fontId="64" fillId="0" borderId="57" xfId="2" applyNumberFormat="1" applyFont="1" applyFill="1" applyBorder="1" applyAlignment="1">
      <alignment horizontal="center"/>
    </xf>
    <xf numFmtId="0" fontId="68" fillId="0" borderId="0" xfId="2" applyNumberFormat="1" applyFont="1" applyFill="1" applyAlignment="1">
      <alignment horizontal="right"/>
    </xf>
    <xf numFmtId="0" fontId="69" fillId="0" borderId="0" xfId="0" applyNumberFormat="1" applyFont="1" applyAlignment="1"/>
    <xf numFmtId="0" fontId="70" fillId="0" borderId="0" xfId="2" applyNumberFormat="1" applyFont="1" applyFill="1" applyAlignment="1">
      <alignment horizontal="right"/>
    </xf>
    <xf numFmtId="0" fontId="59" fillId="13" borderId="15" xfId="2" applyNumberFormat="1" applyFont="1" applyFill="1" applyBorder="1" applyProtection="1">
      <protection locked="0"/>
    </xf>
    <xf numFmtId="0" fontId="70" fillId="2" borderId="0" xfId="2" applyNumberFormat="1" applyFont="1" applyAlignment="1">
      <alignment horizontal="right"/>
    </xf>
    <xf numFmtId="0" fontId="59" fillId="2" borderId="15" xfId="2" applyNumberFormat="1" applyBorder="1" applyAlignment="1">
      <alignment horizontal="left"/>
    </xf>
    <xf numFmtId="0" fontId="72" fillId="2" borderId="0" xfId="2" applyNumberFormat="1" applyFont="1" applyAlignment="1">
      <alignment horizontal="centerContinuous"/>
    </xf>
    <xf numFmtId="0" fontId="59" fillId="2" borderId="0" xfId="2" applyNumberFormat="1"/>
    <xf numFmtId="0" fontId="59" fillId="2" borderId="0" xfId="2" applyNumberFormat="1" applyFill="1"/>
    <xf numFmtId="0" fontId="70" fillId="2" borderId="15" xfId="2" applyNumberFormat="1" applyFont="1" applyBorder="1" applyAlignment="1">
      <alignment horizontal="left"/>
    </xf>
    <xf numFmtId="14" fontId="70" fillId="2" borderId="15" xfId="2" applyNumberFormat="1" applyFont="1" applyBorder="1" applyAlignment="1">
      <alignment horizontal="left"/>
    </xf>
    <xf numFmtId="0" fontId="59" fillId="2" borderId="0" xfId="2" applyNumberFormat="1" applyAlignment="1">
      <alignment horizontal="left"/>
    </xf>
    <xf numFmtId="0" fontId="59" fillId="2" borderId="0" xfId="2" applyNumberFormat="1" applyFont="1" applyFill="1" applyAlignment="1">
      <alignment horizontal="right"/>
    </xf>
    <xf numFmtId="0" fontId="73" fillId="0" borderId="0" xfId="1" applyNumberFormat="1" applyFont="1" applyAlignment="1">
      <alignment horizontal="right"/>
    </xf>
    <xf numFmtId="0" fontId="59" fillId="2" borderId="53" xfId="2" applyNumberFormat="1" applyFill="1" applyBorder="1" applyAlignment="1">
      <alignment horizontal="left"/>
    </xf>
    <xf numFmtId="0" fontId="70" fillId="2" borderId="0" xfId="2" applyNumberFormat="1" applyFont="1" applyAlignment="1">
      <alignment horizontal="left"/>
    </xf>
    <xf numFmtId="14" fontId="59" fillId="2" borderId="0" xfId="2" applyNumberFormat="1"/>
    <xf numFmtId="0" fontId="59" fillId="2" borderId="53" xfId="2" applyNumberFormat="1" applyBorder="1" applyAlignment="1">
      <alignment horizontal="left"/>
    </xf>
    <xf numFmtId="0" fontId="59" fillId="2" borderId="0" xfId="2" applyNumberFormat="1" applyBorder="1" applyAlignment="1">
      <alignment horizontal="left"/>
    </xf>
    <xf numFmtId="0" fontId="59" fillId="0" borderId="15" xfId="2" applyNumberFormat="1" applyFill="1" applyBorder="1" applyAlignment="1">
      <alignment horizontal="left"/>
    </xf>
    <xf numFmtId="0" fontId="59" fillId="2" borderId="0" xfId="2" applyNumberFormat="1" applyFill="1" applyAlignment="1">
      <alignment horizontal="left"/>
    </xf>
    <xf numFmtId="0" fontId="59" fillId="2" borderId="53" xfId="2" applyNumberFormat="1" applyBorder="1"/>
    <xf numFmtId="168" fontId="59" fillId="2" borderId="0" xfId="2" applyNumberFormat="1" applyBorder="1" applyAlignment="1">
      <alignment horizontal="left"/>
    </xf>
    <xf numFmtId="0" fontId="70" fillId="2" borderId="0" xfId="2" applyNumberFormat="1" applyFont="1" applyAlignment="1"/>
    <xf numFmtId="168" fontId="59" fillId="2" borderId="0" xfId="2" applyNumberFormat="1" applyBorder="1"/>
    <xf numFmtId="168" fontId="59" fillId="2" borderId="0" xfId="2" applyNumberFormat="1" applyBorder="1" applyAlignment="1">
      <alignment horizontal="center"/>
    </xf>
    <xf numFmtId="168" fontId="59" fillId="2" borderId="0" xfId="2" applyNumberFormat="1" applyBorder="1" applyAlignment="1"/>
    <xf numFmtId="0" fontId="63" fillId="14" borderId="25" xfId="2" applyNumberFormat="1" applyFont="1" applyFill="1" applyBorder="1"/>
    <xf numFmtId="0" fontId="63" fillId="14" borderId="28" xfId="2" applyNumberFormat="1" applyFont="1" applyFill="1" applyBorder="1" applyAlignment="1">
      <alignment horizontal="center"/>
    </xf>
    <xf numFmtId="0" fontId="63" fillId="14" borderId="31" xfId="2" applyNumberFormat="1" applyFont="1" applyFill="1" applyBorder="1"/>
    <xf numFmtId="172" fontId="68" fillId="14" borderId="16" xfId="2" applyNumberFormat="1" applyFont="1" applyFill="1" applyBorder="1"/>
    <xf numFmtId="0" fontId="68" fillId="2" borderId="1" xfId="2" applyNumberFormat="1" applyFont="1" applyBorder="1" applyAlignment="1">
      <alignment horizontal="center"/>
    </xf>
    <xf numFmtId="0" fontId="68" fillId="2" borderId="58" xfId="2" applyNumberFormat="1" applyFont="1" applyBorder="1" applyAlignment="1">
      <alignment horizontal="center"/>
    </xf>
    <xf numFmtId="0" fontId="68" fillId="2" borderId="16" xfId="2" applyNumberFormat="1" applyFont="1" applyBorder="1" applyAlignment="1">
      <alignment horizontal="center"/>
    </xf>
    <xf numFmtId="0" fontId="68" fillId="2" borderId="34" xfId="2" applyNumberFormat="1" applyFont="1" applyBorder="1" applyAlignment="1">
      <alignment horizontal="center"/>
    </xf>
    <xf numFmtId="0" fontId="68" fillId="2" borderId="29" xfId="2" applyNumberFormat="1" applyFont="1" applyBorder="1" applyAlignment="1">
      <alignment horizontal="center"/>
    </xf>
    <xf numFmtId="172" fontId="68" fillId="14" borderId="15" xfId="2" applyNumberFormat="1" applyFont="1" applyFill="1" applyBorder="1"/>
    <xf numFmtId="0" fontId="68" fillId="2" borderId="43" xfId="2" applyNumberFormat="1" applyFont="1" applyBorder="1" applyAlignment="1">
      <alignment horizontal="center"/>
    </xf>
    <xf numFmtId="0" fontId="63" fillId="0" borderId="59" xfId="2" applyNumberFormat="1" applyFont="1" applyFill="1" applyBorder="1" applyAlignment="1">
      <alignment horizontal="right"/>
    </xf>
    <xf numFmtId="172" fontId="68" fillId="14" borderId="21" xfId="2" applyNumberFormat="1" applyFont="1" applyFill="1" applyBorder="1" applyAlignment="1">
      <alignment horizontal="right"/>
    </xf>
    <xf numFmtId="172" fontId="68" fillId="14" borderId="35" xfId="2" applyNumberFormat="1" applyFont="1" applyFill="1" applyBorder="1"/>
    <xf numFmtId="0" fontId="68" fillId="2" borderId="21" xfId="2" applyNumberFormat="1" applyFont="1" applyBorder="1" applyAlignment="1">
      <alignment horizontal="center"/>
    </xf>
    <xf numFmtId="0" fontId="68" fillId="2" borderId="32" xfId="2" applyNumberFormat="1" applyFont="1" applyBorder="1" applyAlignment="1">
      <alignment horizontal="center"/>
    </xf>
    <xf numFmtId="0" fontId="63" fillId="13" borderId="0" xfId="2" applyNumberFormat="1" applyFont="1" applyFill="1" applyBorder="1" applyAlignment="1">
      <alignment horizontal="right"/>
    </xf>
    <xf numFmtId="172" fontId="68" fillId="14" borderId="0" xfId="2" applyNumberFormat="1" applyFont="1" applyFill="1" applyBorder="1"/>
    <xf numFmtId="0" fontId="68" fillId="2" borderId="0" xfId="2" applyNumberFormat="1" applyFont="1" applyBorder="1" applyAlignment="1">
      <alignment horizontal="center"/>
    </xf>
    <xf numFmtId="0" fontId="63" fillId="0" borderId="0" xfId="2" applyNumberFormat="1" applyFont="1" applyFill="1" applyBorder="1" applyAlignment="1">
      <alignment horizontal="right"/>
    </xf>
    <xf numFmtId="172" fontId="68" fillId="14" borderId="29" xfId="2" applyNumberFormat="1" applyFont="1" applyFill="1" applyBorder="1"/>
    <xf numFmtId="172" fontId="68" fillId="14" borderId="60" xfId="2" applyNumberFormat="1" applyFont="1" applyFill="1" applyBorder="1"/>
    <xf numFmtId="0" fontId="68" fillId="2" borderId="35" xfId="2" applyNumberFormat="1" applyFont="1" applyBorder="1" applyAlignment="1">
      <alignment horizontal="center"/>
    </xf>
    <xf numFmtId="0" fontId="68" fillId="2" borderId="61" xfId="2" applyNumberFormat="1" applyFont="1" applyBorder="1" applyAlignment="1">
      <alignment horizontal="center"/>
    </xf>
    <xf numFmtId="0" fontId="59" fillId="13" borderId="0" xfId="2" applyNumberFormat="1" applyFill="1"/>
    <xf numFmtId="0" fontId="59" fillId="13" borderId="0" xfId="2" applyNumberFormat="1" applyFill="1" applyBorder="1"/>
    <xf numFmtId="0" fontId="59" fillId="13" borderId="0" xfId="2" applyNumberFormat="1" applyFont="1" applyFill="1" applyAlignment="1">
      <alignment horizontal="right"/>
    </xf>
    <xf numFmtId="0" fontId="59" fillId="13" borderId="53" xfId="2" applyNumberFormat="1" applyFont="1" applyFill="1" applyBorder="1"/>
    <xf numFmtId="0" fontId="59" fillId="13" borderId="15" xfId="2" applyNumberFormat="1" applyFill="1" applyBorder="1"/>
    <xf numFmtId="0" fontId="59" fillId="13" borderId="0" xfId="2" applyNumberFormat="1" applyFill="1" applyAlignment="1">
      <alignment horizontal="right"/>
    </xf>
    <xf numFmtId="0" fontId="68" fillId="13" borderId="53" xfId="2" applyNumberFormat="1" applyFont="1" applyFill="1" applyBorder="1" applyAlignment="1" applyProtection="1">
      <alignment horizontal="left"/>
      <protection locked="0"/>
    </xf>
    <xf numFmtId="0" fontId="59" fillId="13" borderId="15" xfId="2" applyNumberFormat="1" applyFill="1" applyBorder="1" applyProtection="1">
      <protection locked="0"/>
    </xf>
    <xf numFmtId="0" fontId="68" fillId="13" borderId="3" xfId="2" applyNumberFormat="1" applyFont="1" applyFill="1" applyBorder="1" applyProtection="1">
      <protection locked="0"/>
    </xf>
    <xf numFmtId="0" fontId="59" fillId="13" borderId="0" xfId="2" applyNumberFormat="1" applyFont="1" applyFill="1" applyBorder="1"/>
    <xf numFmtId="0" fontId="59" fillId="13" borderId="62" xfId="2" applyNumberFormat="1" applyFill="1" applyBorder="1" applyProtection="1">
      <protection locked="0"/>
    </xf>
    <xf numFmtId="0" fontId="59" fillId="13" borderId="0" xfId="2" applyNumberFormat="1" applyFill="1" applyBorder="1" applyAlignment="1">
      <alignment horizontal="right"/>
    </xf>
    <xf numFmtId="0" fontId="59" fillId="13" borderId="53" xfId="2" applyNumberFormat="1" applyFill="1" applyBorder="1" applyProtection="1">
      <protection locked="0"/>
    </xf>
    <xf numFmtId="0" fontId="59" fillId="13" borderId="0" xfId="2" applyNumberFormat="1" applyFont="1" applyFill="1" applyBorder="1" applyAlignment="1">
      <alignment horizontal="right"/>
    </xf>
    <xf numFmtId="0" fontId="59" fillId="13" borderId="53" xfId="2" applyNumberFormat="1" applyFill="1" applyBorder="1"/>
    <xf numFmtId="172" fontId="65" fillId="10" borderId="47" xfId="2" applyNumberFormat="1" applyFont="1" applyFill="1" applyBorder="1" applyAlignment="1" applyProtection="1">
      <alignment horizontal="center"/>
    </xf>
    <xf numFmtId="172" fontId="68" fillId="10" borderId="16" xfId="2" applyNumberFormat="1" applyFont="1" applyFill="1" applyBorder="1" applyAlignment="1">
      <alignment horizontal="right"/>
    </xf>
    <xf numFmtId="172" fontId="68" fillId="10" borderId="16" xfId="2" applyNumberFormat="1" applyFont="1" applyFill="1" applyBorder="1"/>
    <xf numFmtId="0" fontId="68" fillId="10" borderId="16" xfId="2" applyNumberFormat="1" applyFont="1" applyFill="1" applyBorder="1" applyAlignment="1">
      <alignment horizontal="center"/>
    </xf>
    <xf numFmtId="0" fontId="68" fillId="10" borderId="34" xfId="2" applyNumberFormat="1" applyFont="1" applyFill="1" applyBorder="1" applyAlignment="1">
      <alignment horizontal="center"/>
    </xf>
    <xf numFmtId="0" fontId="68" fillId="13" borderId="0" xfId="2" applyNumberFormat="1" applyFont="1" applyFill="1" applyAlignment="1">
      <alignment horizontal="left"/>
    </xf>
    <xf numFmtId="0" fontId="59" fillId="2" borderId="53" xfId="2" applyNumberFormat="1" applyBorder="1" applyProtection="1">
      <protection locked="0"/>
    </xf>
    <xf numFmtId="0" fontId="68" fillId="13" borderId="15" xfId="2" applyNumberFormat="1" applyFont="1" applyFill="1" applyBorder="1" applyProtection="1">
      <protection locked="0"/>
    </xf>
    <xf numFmtId="0" fontId="59" fillId="13" borderId="53" xfId="2" applyNumberFormat="1" applyFont="1" applyFill="1" applyBorder="1" applyProtection="1"/>
    <xf numFmtId="165" fontId="12" fillId="0" borderId="0" xfId="0" applyFont="1"/>
    <xf numFmtId="165" fontId="54" fillId="0" borderId="0" xfId="0" applyFont="1" applyAlignment="1">
      <alignment horizontal="centerContinuous" vertical="center"/>
    </xf>
    <xf numFmtId="165" fontId="10" fillId="0" borderId="0" xfId="0" applyFont="1" applyAlignment="1">
      <alignment horizontal="centerContinuous"/>
    </xf>
    <xf numFmtId="165" fontId="54" fillId="0" borderId="0" xfId="0" applyFont="1"/>
    <xf numFmtId="165" fontId="54" fillId="0" borderId="35" xfId="0" applyFont="1" applyBorder="1" applyAlignment="1">
      <alignment horizontal="center"/>
    </xf>
    <xf numFmtId="165" fontId="54" fillId="0" borderId="38" xfId="0" applyFont="1" applyBorder="1" applyAlignment="1">
      <alignment horizontal="center"/>
    </xf>
    <xf numFmtId="165" fontId="54" fillId="0" borderId="63" xfId="0" applyFont="1" applyBorder="1" applyAlignment="1">
      <alignment horizontal="center"/>
    </xf>
    <xf numFmtId="165" fontId="54" fillId="0" borderId="39" xfId="0" applyFont="1" applyBorder="1"/>
    <xf numFmtId="165" fontId="54" fillId="0" borderId="11" xfId="0" applyFont="1" applyBorder="1" applyAlignment="1">
      <alignment horizontal="center"/>
    </xf>
    <xf numFmtId="165" fontId="54" fillId="0" borderId="16" xfId="0" applyFont="1" applyBorder="1"/>
    <xf numFmtId="165" fontId="54" fillId="0" borderId="16" xfId="0" applyFont="1" applyBorder="1" applyAlignment="1">
      <alignment horizontal="center"/>
    </xf>
    <xf numFmtId="165" fontId="54" fillId="0" borderId="1" xfId="0" applyFont="1" applyBorder="1"/>
    <xf numFmtId="165" fontId="54" fillId="0" borderId="1" xfId="0" applyFont="1" applyBorder="1" applyAlignment="1">
      <alignment horizontal="center"/>
    </xf>
    <xf numFmtId="165" fontId="6" fillId="0" borderId="1" xfId="0" applyFont="1" applyBorder="1" applyAlignment="1" applyProtection="1">
      <alignment horizontal="center"/>
    </xf>
    <xf numFmtId="165" fontId="54" fillId="0" borderId="0" xfId="0" applyFont="1" applyAlignment="1" applyProtection="1">
      <alignment horizontal="left" vertical="top"/>
    </xf>
    <xf numFmtId="165" fontId="54" fillId="0" borderId="29" xfId="0" applyFont="1" applyBorder="1" applyProtection="1"/>
    <xf numFmtId="165" fontId="10" fillId="0" borderId="44" xfId="0" applyFont="1" applyBorder="1" applyProtection="1"/>
    <xf numFmtId="165" fontId="10" fillId="0" borderId="45" xfId="0" applyFont="1" applyBorder="1" applyProtection="1"/>
    <xf numFmtId="165" fontId="10" fillId="0" borderId="46" xfId="0" applyFont="1" applyBorder="1" applyProtection="1"/>
    <xf numFmtId="165" fontId="10" fillId="0" borderId="0" xfId="0" applyFont="1" applyAlignment="1" applyProtection="1">
      <alignment horizontal="center" vertical="justify"/>
    </xf>
    <xf numFmtId="165" fontId="54" fillId="0" borderId="40" xfId="0" applyFont="1" applyBorder="1" applyProtection="1"/>
    <xf numFmtId="165" fontId="10" fillId="0" borderId="40" xfId="0" applyFont="1" applyBorder="1" applyProtection="1"/>
    <xf numFmtId="165" fontId="54" fillId="0" borderId="22" xfId="0" applyFont="1" applyBorder="1" applyAlignment="1" applyProtection="1">
      <alignment horizontal="centerContinuous"/>
    </xf>
    <xf numFmtId="165" fontId="54" fillId="0" borderId="64" xfId="0" applyFont="1" applyBorder="1" applyAlignment="1" applyProtection="1">
      <alignment horizontal="centerContinuous"/>
    </xf>
    <xf numFmtId="165" fontId="54" fillId="0" borderId="63" xfId="0" applyFont="1" applyBorder="1" applyAlignment="1" applyProtection="1">
      <alignment horizontal="centerContinuous"/>
    </xf>
    <xf numFmtId="165" fontId="56" fillId="0" borderId="0" xfId="0" applyFont="1" applyAlignment="1" applyProtection="1">
      <alignment horizontal="center" vertical="justify"/>
    </xf>
    <xf numFmtId="165" fontId="8" fillId="0" borderId="0" xfId="0" applyFont="1" applyAlignment="1" applyProtection="1">
      <alignment horizontal="center" vertical="justify"/>
    </xf>
    <xf numFmtId="165" fontId="10" fillId="0" borderId="20" xfId="0" applyFont="1" applyBorder="1" applyProtection="1"/>
    <xf numFmtId="165" fontId="24" fillId="0" borderId="15" xfId="0" applyFont="1" applyBorder="1" applyAlignment="1">
      <alignment horizontal="center"/>
    </xf>
    <xf numFmtId="165" fontId="10" fillId="0" borderId="15" xfId="0" applyFont="1" applyBorder="1" applyProtection="1">
      <protection locked="0"/>
    </xf>
    <xf numFmtId="165" fontId="54" fillId="0" borderId="15" xfId="0" applyFont="1" applyBorder="1" applyProtection="1">
      <protection locked="0"/>
    </xf>
    <xf numFmtId="164" fontId="10" fillId="0" borderId="15" xfId="0" applyNumberFormat="1" applyFont="1" applyBorder="1" applyProtection="1">
      <protection locked="0"/>
    </xf>
    <xf numFmtId="165" fontId="54" fillId="0" borderId="15" xfId="0" applyFont="1" applyBorder="1" applyAlignment="1" applyProtection="1">
      <alignment horizontal="centerContinuous"/>
      <protection locked="0"/>
    </xf>
    <xf numFmtId="165" fontId="54" fillId="0" borderId="0" xfId="0" applyFont="1" applyProtection="1">
      <protection locked="0"/>
    </xf>
    <xf numFmtId="39" fontId="54" fillId="0" borderId="15" xfId="0" applyNumberFormat="1" applyFont="1" applyBorder="1" applyProtection="1">
      <protection locked="0"/>
    </xf>
    <xf numFmtId="164" fontId="10" fillId="0" borderId="1" xfId="0" applyNumberFormat="1" applyFont="1" applyBorder="1" applyAlignment="1" applyProtection="1">
      <alignment horizontal="center"/>
      <protection locked="0"/>
    </xf>
    <xf numFmtId="165" fontId="10" fillId="0" borderId="1" xfId="0" applyFont="1" applyBorder="1" applyAlignment="1" applyProtection="1">
      <alignment horizontal="center"/>
      <protection locked="0"/>
    </xf>
    <xf numFmtId="165" fontId="0" fillId="0" borderId="15" xfId="0" applyBorder="1" applyProtection="1">
      <protection locked="0"/>
    </xf>
    <xf numFmtId="165" fontId="54" fillId="0" borderId="0" xfId="0" applyFont="1" applyAlignment="1" applyProtection="1">
      <alignment horizontal="center"/>
      <protection locked="0"/>
    </xf>
    <xf numFmtId="165" fontId="8" fillId="0" borderId="15" xfId="0" applyFont="1" applyBorder="1" applyProtection="1">
      <protection locked="0"/>
    </xf>
    <xf numFmtId="164" fontId="10" fillId="0" borderId="39" xfId="0" applyNumberFormat="1" applyFont="1" applyBorder="1" applyAlignment="1" applyProtection="1">
      <alignment horizontal="center"/>
      <protection locked="0"/>
    </xf>
    <xf numFmtId="165" fontId="10" fillId="0" borderId="39" xfId="0" applyFont="1" applyBorder="1" applyAlignment="1" applyProtection="1">
      <alignment horizontal="center"/>
      <protection locked="0"/>
    </xf>
    <xf numFmtId="165" fontId="10" fillId="0" borderId="17" xfId="0" applyFont="1" applyBorder="1" applyProtection="1">
      <protection locked="0"/>
    </xf>
    <xf numFmtId="165" fontId="10" fillId="0" borderId="16" xfId="0" applyFont="1" applyBorder="1" applyProtection="1">
      <protection locked="0"/>
    </xf>
    <xf numFmtId="165" fontId="8" fillId="0" borderId="39" xfId="0" applyFont="1" applyBorder="1" applyAlignment="1" applyProtection="1">
      <alignment horizontal="center"/>
      <protection locked="0"/>
    </xf>
    <xf numFmtId="165" fontId="10" fillId="0" borderId="2" xfId="0" applyFont="1" applyBorder="1" applyProtection="1">
      <protection locked="0"/>
    </xf>
    <xf numFmtId="165" fontId="10" fillId="0" borderId="4" xfId="0" applyFont="1" applyBorder="1" applyProtection="1">
      <protection locked="0"/>
    </xf>
    <xf numFmtId="165" fontId="0" fillId="0" borderId="0" xfId="0" applyProtection="1">
      <protection locked="0"/>
    </xf>
    <xf numFmtId="165" fontId="0" fillId="0" borderId="15" xfId="0" applyBorder="1" applyAlignment="1" applyProtection="1">
      <alignment horizontal="right"/>
      <protection locked="0"/>
    </xf>
    <xf numFmtId="165" fontId="0" fillId="0" borderId="15" xfId="0" applyBorder="1" applyAlignment="1" applyProtection="1">
      <alignment horizontal="center"/>
      <protection locked="0"/>
    </xf>
    <xf numFmtId="0" fontId="29" fillId="15" borderId="0" xfId="0" applyNumberFormat="1" applyFont="1" applyFill="1" applyAlignment="1" applyProtection="1">
      <alignment horizontal="left"/>
    </xf>
    <xf numFmtId="0" fontId="29" fillId="16" borderId="0" xfId="0" applyNumberFormat="1" applyFont="1" applyFill="1" applyAlignment="1" applyProtection="1">
      <alignment horizontal="left"/>
    </xf>
    <xf numFmtId="14" fontId="59" fillId="2" borderId="53" xfId="2" applyNumberFormat="1" applyFill="1" applyBorder="1" applyAlignment="1" applyProtection="1">
      <alignment horizontal="left"/>
      <protection locked="0"/>
    </xf>
    <xf numFmtId="0" fontId="59" fillId="13" borderId="43" xfId="2" applyNumberFormat="1" applyFont="1" applyFill="1" applyBorder="1" applyProtection="1">
      <protection locked="0"/>
    </xf>
    <xf numFmtId="0" fontId="68" fillId="13" borderId="43" xfId="2" applyNumberFormat="1" applyFont="1" applyFill="1" applyBorder="1" applyAlignment="1" applyProtection="1">
      <alignment horizontal="left"/>
      <protection locked="0"/>
    </xf>
    <xf numFmtId="0" fontId="59" fillId="13" borderId="0" xfId="2" applyNumberFormat="1" applyFill="1" applyBorder="1" applyProtection="1">
      <protection locked="0"/>
    </xf>
    <xf numFmtId="0" fontId="59" fillId="13" borderId="0" xfId="2" applyNumberFormat="1" applyFont="1" applyFill="1" applyBorder="1" applyProtection="1">
      <protection locked="0"/>
    </xf>
    <xf numFmtId="173" fontId="74" fillId="0" borderId="0" xfId="0" applyNumberFormat="1" applyFont="1"/>
    <xf numFmtId="165" fontId="74" fillId="0" borderId="0" xfId="0" applyFont="1"/>
    <xf numFmtId="165" fontId="39" fillId="0" borderId="0" xfId="0" applyFont="1" applyAlignment="1">
      <alignment horizontal="left"/>
    </xf>
    <xf numFmtId="173" fontId="34" fillId="0" borderId="65" xfId="0" applyNumberFormat="1" applyFont="1" applyBorder="1" applyAlignment="1" applyProtection="1">
      <alignment horizontal="center"/>
    </xf>
    <xf numFmtId="165" fontId="43" fillId="0" borderId="1" xfId="0" applyFont="1" applyBorder="1" applyAlignment="1" applyProtection="1">
      <alignment horizontal="right"/>
    </xf>
    <xf numFmtId="165" fontId="43" fillId="0" borderId="1" xfId="0" applyFont="1" applyBorder="1" applyAlignment="1" applyProtection="1">
      <alignment horizontal="left"/>
    </xf>
    <xf numFmtId="165" fontId="30" fillId="0" borderId="2" xfId="0" applyFont="1" applyBorder="1" applyAlignment="1" applyProtection="1">
      <alignment horizontal="left"/>
    </xf>
    <xf numFmtId="165" fontId="2" fillId="0" borderId="43" xfId="0" applyFont="1" applyBorder="1"/>
    <xf numFmtId="165" fontId="0" fillId="0" borderId="43" xfId="0" applyBorder="1"/>
    <xf numFmtId="165" fontId="0" fillId="9" borderId="43" xfId="0" applyFill="1" applyBorder="1" applyProtection="1">
      <protection locked="0"/>
    </xf>
    <xf numFmtId="165" fontId="75" fillId="0" borderId="0" xfId="0" applyFont="1"/>
    <xf numFmtId="165" fontId="30" fillId="0" borderId="39" xfId="0" applyFont="1" applyBorder="1" applyAlignment="1" applyProtection="1">
      <alignment horizontal="centerContinuous"/>
    </xf>
    <xf numFmtId="165" fontId="12" fillId="0" borderId="66" xfId="0" applyFont="1" applyBorder="1" applyProtection="1"/>
    <xf numFmtId="165" fontId="12" fillId="0" borderId="67" xfId="0" applyFont="1" applyBorder="1" applyProtection="1"/>
    <xf numFmtId="165" fontId="14" fillId="0" borderId="5" xfId="0" applyFont="1" applyBorder="1" applyAlignment="1" applyProtection="1">
      <alignment horizontal="center"/>
    </xf>
    <xf numFmtId="165" fontId="14" fillId="0" borderId="68" xfId="0" applyFont="1" applyBorder="1" applyAlignment="1" applyProtection="1">
      <alignment horizontal="centerContinuous"/>
    </xf>
    <xf numFmtId="165" fontId="12" fillId="0" borderId="2" xfId="0" applyFont="1" applyBorder="1" applyAlignment="1" applyProtection="1">
      <alignment horizontal="centerContinuous"/>
    </xf>
    <xf numFmtId="14" fontId="42" fillId="0" borderId="1" xfId="0" applyNumberFormat="1" applyFont="1" applyBorder="1" applyAlignment="1" applyProtection="1">
      <alignment horizontal="center"/>
    </xf>
    <xf numFmtId="177" fontId="79" fillId="0" borderId="79" xfId="0" applyNumberFormat="1" applyFont="1" applyBorder="1" applyProtection="1">
      <protection locked="0"/>
    </xf>
    <xf numFmtId="172" fontId="0" fillId="9" borderId="43" xfId="0" applyNumberFormat="1" applyFill="1" applyBorder="1" applyAlignment="1" applyProtection="1">
      <alignment horizontal="center"/>
      <protection locked="0"/>
    </xf>
    <xf numFmtId="172" fontId="0" fillId="0" borderId="0" xfId="0" applyNumberFormat="1" applyAlignment="1" applyProtection="1">
      <alignment horizontal="center"/>
    </xf>
    <xf numFmtId="165" fontId="76" fillId="0" borderId="0" xfId="0" applyFont="1"/>
    <xf numFmtId="167" fontId="6" fillId="0" borderId="16" xfId="0" applyNumberFormat="1" applyFont="1" applyBorder="1" applyAlignment="1" applyProtection="1">
      <alignment horizontal="right"/>
    </xf>
    <xf numFmtId="172" fontId="30" fillId="0" borderId="39" xfId="0" applyNumberFormat="1" applyFont="1" applyBorder="1" applyAlignment="1" applyProtection="1">
      <alignment horizontal="center"/>
    </xf>
    <xf numFmtId="172" fontId="42" fillId="0" borderId="1" xfId="0" applyNumberFormat="1" applyFont="1" applyBorder="1" applyAlignment="1" applyProtection="1">
      <alignment horizontal="center"/>
    </xf>
    <xf numFmtId="172" fontId="30" fillId="0" borderId="1" xfId="0" applyNumberFormat="1" applyFont="1" applyBorder="1" applyAlignment="1" applyProtection="1">
      <alignment horizontal="center"/>
    </xf>
    <xf numFmtId="172" fontId="30" fillId="0" borderId="0" xfId="0" applyNumberFormat="1" applyFont="1" applyBorder="1" applyAlignment="1" applyProtection="1">
      <alignment horizontal="center"/>
    </xf>
    <xf numFmtId="165" fontId="30" fillId="0" borderId="29" xfId="0" applyFont="1" applyBorder="1" applyAlignment="1" applyProtection="1">
      <alignment horizontal="center"/>
    </xf>
    <xf numFmtId="0" fontId="77" fillId="0" borderId="53" xfId="0" applyNumberFormat="1" applyFont="1" applyBorder="1" applyAlignment="1" applyProtection="1">
      <alignment horizontal="left"/>
    </xf>
    <xf numFmtId="0" fontId="78" fillId="0" borderId="53" xfId="0" applyNumberFormat="1" applyFont="1" applyBorder="1" applyAlignment="1" applyProtection="1">
      <alignment horizontal="right"/>
    </xf>
    <xf numFmtId="165" fontId="42" fillId="0" borderId="0" xfId="0" applyFont="1" applyAlignment="1" applyProtection="1">
      <alignment vertical="center"/>
    </xf>
    <xf numFmtId="165" fontId="43" fillId="0" borderId="0" xfId="0" applyFont="1" applyAlignment="1" applyProtection="1">
      <alignment horizontal="right" vertical="center"/>
    </xf>
    <xf numFmtId="165" fontId="0" fillId="0" borderId="0" xfId="0" applyAlignment="1" applyProtection="1">
      <alignment vertical="center"/>
    </xf>
    <xf numFmtId="167" fontId="42" fillId="0" borderId="39" xfId="0" applyNumberFormat="1" applyFont="1" applyBorder="1" applyAlignment="1" applyProtection="1">
      <alignment vertical="center"/>
      <protection locked="0"/>
    </xf>
    <xf numFmtId="167" fontId="42" fillId="0" borderId="1" xfId="0" applyNumberFormat="1" applyFont="1" applyBorder="1" applyAlignment="1" applyProtection="1">
      <alignment vertical="center"/>
      <protection locked="0"/>
    </xf>
    <xf numFmtId="172" fontId="10" fillId="0" borderId="39" xfId="0" applyNumberFormat="1" applyFont="1" applyBorder="1" applyAlignment="1" applyProtection="1">
      <alignment horizontal="center"/>
      <protection locked="0"/>
    </xf>
    <xf numFmtId="2" fontId="10" fillId="0" borderId="39" xfId="0" applyNumberFormat="1" applyFont="1" applyBorder="1" applyAlignment="1" applyProtection="1">
      <alignment horizontal="center"/>
      <protection locked="0"/>
    </xf>
    <xf numFmtId="164" fontId="0" fillId="0" borderId="1" xfId="0" applyNumberFormat="1" applyBorder="1" applyProtection="1">
      <protection locked="0"/>
    </xf>
    <xf numFmtId="165" fontId="0" fillId="0" borderId="1" xfId="0" applyBorder="1" applyAlignment="1" applyProtection="1">
      <alignment horizontal="center"/>
      <protection locked="0"/>
    </xf>
    <xf numFmtId="49" fontId="12" fillId="0" borderId="0" xfId="0" applyNumberFormat="1" applyFont="1"/>
    <xf numFmtId="49" fontId="12" fillId="0" borderId="0" xfId="3" applyNumberFormat="1" applyFont="1"/>
    <xf numFmtId="49" fontId="10" fillId="0" borderId="15" xfId="0" applyNumberFormat="1" applyFont="1" applyBorder="1" applyAlignment="1">
      <alignment horizontal="left"/>
    </xf>
    <xf numFmtId="49" fontId="0" fillId="0" borderId="15" xfId="0" applyNumberFormat="1" applyBorder="1" applyAlignment="1">
      <alignment horizontal="left"/>
    </xf>
    <xf numFmtId="165" fontId="0" fillId="0" borderId="15" xfId="0" applyBorder="1" applyAlignment="1">
      <alignment horizontal="right"/>
    </xf>
    <xf numFmtId="49" fontId="54" fillId="0" borderId="0" xfId="0" applyNumberFormat="1" applyFont="1" applyAlignment="1" applyProtection="1">
      <alignment horizontal="centerContinuous"/>
    </xf>
    <xf numFmtId="165" fontId="54" fillId="0" borderId="51" xfId="0" applyFont="1" applyBorder="1" applyAlignment="1" applyProtection="1">
      <alignment horizontal="center"/>
    </xf>
    <xf numFmtId="2" fontId="54" fillId="0" borderId="29" xfId="0" applyNumberFormat="1" applyFon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178" fontId="0" fillId="0" borderId="1" xfId="0" applyNumberFormat="1" applyBorder="1" applyProtection="1">
      <protection locked="0"/>
    </xf>
    <xf numFmtId="172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73" fontId="0" fillId="0" borderId="1" xfId="0" applyNumberFormat="1" applyBorder="1" applyProtection="1">
      <protection locked="0"/>
    </xf>
    <xf numFmtId="2" fontId="10" fillId="0" borderId="16" xfId="0" applyNumberFormat="1" applyFont="1" applyBorder="1" applyAlignment="1" applyProtection="1">
      <alignment horizontal="center"/>
      <protection locked="0"/>
    </xf>
    <xf numFmtId="171" fontId="10" fillId="0" borderId="39" xfId="0" applyNumberFormat="1" applyFont="1" applyBorder="1" applyAlignment="1" applyProtection="1">
      <alignment horizontal="center"/>
      <protection locked="0"/>
    </xf>
    <xf numFmtId="167" fontId="23" fillId="0" borderId="0" xfId="0" applyNumberFormat="1" applyFont="1" applyBorder="1" applyAlignment="1" applyProtection="1">
      <alignment horizontal="center"/>
      <protection locked="0"/>
    </xf>
    <xf numFmtId="165" fontId="4" fillId="0" borderId="0" xfId="0" applyFont="1" applyAlignment="1">
      <alignment horizontal="right"/>
    </xf>
    <xf numFmtId="0" fontId="29" fillId="18" borderId="0" xfId="0" applyNumberFormat="1" applyFont="1" applyFill="1" applyAlignment="1">
      <alignment horizontal="left"/>
    </xf>
    <xf numFmtId="165" fontId="51" fillId="0" borderId="1" xfId="0" applyFont="1" applyBorder="1" applyAlignment="1">
      <alignment horizontal="center"/>
    </xf>
    <xf numFmtId="165" fontId="51" fillId="0" borderId="0" xfId="0" applyFont="1"/>
    <xf numFmtId="165" fontId="43" fillId="0" borderId="1" xfId="0" applyFont="1" applyBorder="1" applyAlignment="1">
      <alignment horizontal="center"/>
    </xf>
    <xf numFmtId="165" fontId="35" fillId="0" borderId="0" xfId="0" applyFont="1" applyAlignment="1">
      <alignment horizontal="center"/>
    </xf>
    <xf numFmtId="165" fontId="36" fillId="0" borderId="0" xfId="0" applyFont="1" applyAlignment="1">
      <alignment horizontal="center"/>
    </xf>
    <xf numFmtId="165" fontId="37" fillId="0" borderId="0" xfId="0" applyFont="1" applyAlignment="1">
      <alignment horizontal="center"/>
    </xf>
    <xf numFmtId="165" fontId="38" fillId="0" borderId="0" xfId="0" applyFont="1" applyAlignment="1">
      <alignment horizontal="center"/>
    </xf>
    <xf numFmtId="165" fontId="31" fillId="0" borderId="69" xfId="0" applyFont="1" applyBorder="1" applyAlignment="1">
      <alignment horizontal="right" wrapText="1"/>
    </xf>
    <xf numFmtId="165" fontId="0" fillId="0" borderId="70" xfId="0" applyBorder="1" applyAlignment="1"/>
    <xf numFmtId="165" fontId="0" fillId="0" borderId="71" xfId="0" applyBorder="1" applyAlignment="1"/>
    <xf numFmtId="165" fontId="0" fillId="0" borderId="72" xfId="0" applyBorder="1" applyAlignment="1"/>
    <xf numFmtId="165" fontId="49" fillId="0" borderId="42" xfId="0" applyFont="1" applyBorder="1" applyAlignment="1"/>
    <xf numFmtId="165" fontId="0" fillId="0" borderId="73" xfId="0" applyBorder="1" applyAlignment="1"/>
    <xf numFmtId="165" fontId="0" fillId="0" borderId="74" xfId="0" applyBorder="1" applyAlignment="1"/>
    <xf numFmtId="165" fontId="49" fillId="0" borderId="42" xfId="0" applyFont="1" applyBorder="1" applyAlignment="1">
      <alignment horizontal="center"/>
    </xf>
    <xf numFmtId="165" fontId="12" fillId="0" borderId="44" xfId="0" applyFont="1" applyBorder="1" applyAlignment="1" applyProtection="1">
      <alignment horizontal="right"/>
    </xf>
    <xf numFmtId="165" fontId="12" fillId="0" borderId="45" xfId="0" applyFont="1" applyBorder="1" applyAlignment="1" applyProtection="1">
      <alignment horizontal="right"/>
    </xf>
    <xf numFmtId="165" fontId="18" fillId="3" borderId="0" xfId="0" applyFont="1" applyFill="1" applyAlignment="1" applyProtection="1">
      <alignment horizontal="left" vertical="center"/>
    </xf>
    <xf numFmtId="165" fontId="0" fillId="0" borderId="0" xfId="0" applyAlignment="1">
      <alignment horizontal="left"/>
    </xf>
    <xf numFmtId="165" fontId="0" fillId="0" borderId="45" xfId="0" applyBorder="1" applyAlignment="1">
      <alignment horizontal="right"/>
    </xf>
    <xf numFmtId="165" fontId="18" fillId="3" borderId="0" xfId="0" applyFont="1" applyFill="1" applyAlignment="1" applyProtection="1">
      <alignment horizontal="center" vertical="center"/>
    </xf>
    <xf numFmtId="165" fontId="0" fillId="0" borderId="0" xfId="0" applyAlignment="1"/>
    <xf numFmtId="165" fontId="43" fillId="3" borderId="2" xfId="0" applyFont="1" applyFill="1" applyBorder="1" applyAlignment="1" applyProtection="1"/>
    <xf numFmtId="165" fontId="0" fillId="0" borderId="4" xfId="0" applyBorder="1" applyAlignment="1"/>
    <xf numFmtId="165" fontId="43" fillId="3" borderId="2" xfId="0" applyFont="1" applyFill="1" applyBorder="1" applyAlignment="1" applyProtection="1">
      <alignment horizontal="center"/>
    </xf>
    <xf numFmtId="165" fontId="47" fillId="0" borderId="2" xfId="0" applyFont="1" applyBorder="1" applyAlignment="1">
      <alignment horizontal="center"/>
    </xf>
    <xf numFmtId="165" fontId="0" fillId="0" borderId="4" xfId="0" applyBorder="1" applyAlignment="1" applyProtection="1">
      <alignment horizontal="center"/>
    </xf>
    <xf numFmtId="165" fontId="44" fillId="17" borderId="38" xfId="0" applyFont="1" applyFill="1" applyBorder="1" applyAlignment="1">
      <alignment horizontal="center" wrapText="1"/>
    </xf>
    <xf numFmtId="165" fontId="2" fillId="17" borderId="40" xfId="0" applyFont="1" applyFill="1" applyBorder="1" applyAlignment="1">
      <alignment horizontal="center"/>
    </xf>
    <xf numFmtId="165" fontId="2" fillId="17" borderId="39" xfId="0" applyFont="1" applyFill="1" applyBorder="1" applyAlignment="1">
      <alignment horizontal="center"/>
    </xf>
    <xf numFmtId="165" fontId="30" fillId="3" borderId="2" xfId="0" applyFont="1" applyFill="1" applyBorder="1" applyAlignment="1" applyProtection="1">
      <protection locked="0"/>
    </xf>
    <xf numFmtId="165" fontId="42" fillId="0" borderId="3" xfId="0" applyFont="1" applyBorder="1" applyAlignment="1" applyProtection="1">
      <protection locked="0"/>
    </xf>
    <xf numFmtId="165" fontId="0" fillId="0" borderId="3" xfId="0" applyBorder="1" applyAlignment="1" applyProtection="1">
      <protection locked="0"/>
    </xf>
    <xf numFmtId="165" fontId="0" fillId="0" borderId="4" xfId="0" applyBorder="1" applyAlignment="1" applyProtection="1">
      <protection locked="0"/>
    </xf>
    <xf numFmtId="165" fontId="43" fillId="0" borderId="2" xfId="0" applyFont="1" applyBorder="1" applyAlignment="1" applyProtection="1">
      <protection locked="0"/>
    </xf>
    <xf numFmtId="165" fontId="2" fillId="17" borderId="40" xfId="0" applyFont="1" applyFill="1" applyBorder="1" applyAlignment="1">
      <alignment horizontal="center" wrapText="1"/>
    </xf>
    <xf numFmtId="165" fontId="2" fillId="17" borderId="39" xfId="0" applyFont="1" applyFill="1" applyBorder="1" applyAlignment="1">
      <alignment horizontal="center" wrapText="1"/>
    </xf>
    <xf numFmtId="0" fontId="30" fillId="0" borderId="0" xfId="0" applyNumberFormat="1" applyFont="1" applyBorder="1" applyAlignment="1" applyProtection="1">
      <alignment horizontal="right"/>
    </xf>
    <xf numFmtId="165" fontId="0" fillId="0" borderId="0" xfId="0" applyBorder="1" applyAlignment="1">
      <alignment horizontal="right"/>
    </xf>
    <xf numFmtId="165" fontId="0" fillId="0" borderId="29" xfId="0" applyBorder="1" applyAlignment="1">
      <alignment horizontal="right"/>
    </xf>
    <xf numFmtId="165" fontId="28" fillId="0" borderId="0" xfId="0" applyFont="1" applyAlignment="1" applyProtection="1">
      <alignment horizontal="right"/>
    </xf>
    <xf numFmtId="165" fontId="41" fillId="16" borderId="2" xfId="0" applyFont="1" applyFill="1" applyBorder="1" applyAlignment="1" applyProtection="1"/>
    <xf numFmtId="165" fontId="0" fillId="0" borderId="3" xfId="0" applyBorder="1"/>
    <xf numFmtId="165" fontId="0" fillId="0" borderId="4" xfId="0" applyBorder="1"/>
    <xf numFmtId="0" fontId="41" fillId="0" borderId="0" xfId="0" applyNumberFormat="1" applyFont="1" applyAlignment="1" applyProtection="1">
      <alignment horizontal="center" vertical="center"/>
    </xf>
    <xf numFmtId="165" fontId="41" fillId="15" borderId="2" xfId="0" applyFont="1" applyFill="1" applyBorder="1" applyAlignment="1" applyProtection="1"/>
    <xf numFmtId="165" fontId="0" fillId="0" borderId="3" xfId="0" applyBorder="1" applyAlignment="1"/>
    <xf numFmtId="165" fontId="44" fillId="7" borderId="2" xfId="0" applyFont="1" applyFill="1" applyBorder="1" applyAlignment="1" applyProtection="1"/>
    <xf numFmtId="165" fontId="44" fillId="0" borderId="15" xfId="0" applyFont="1" applyBorder="1" applyAlignment="1">
      <alignment horizontal="left"/>
    </xf>
    <xf numFmtId="165" fontId="0" fillId="0" borderId="15" xfId="0" applyBorder="1" applyAlignment="1">
      <alignment horizontal="left"/>
    </xf>
    <xf numFmtId="0" fontId="59" fillId="13" borderId="73" xfId="2" applyNumberFormat="1" applyFont="1" applyFill="1" applyBorder="1" applyAlignment="1" applyProtection="1">
      <protection locked="0"/>
    </xf>
    <xf numFmtId="0" fontId="69" fillId="0" borderId="73" xfId="0" applyNumberFormat="1" applyFont="1" applyBorder="1" applyAlignment="1" applyProtection="1">
      <protection locked="0"/>
    </xf>
    <xf numFmtId="0" fontId="61" fillId="0" borderId="75" xfId="2" applyNumberFormat="1" applyFont="1" applyFill="1" applyBorder="1" applyAlignment="1">
      <alignment horizontal="center"/>
    </xf>
    <xf numFmtId="0" fontId="61" fillId="0" borderId="76" xfId="2" applyNumberFormat="1" applyFont="1" applyFill="1" applyBorder="1" applyAlignment="1">
      <alignment horizontal="center"/>
    </xf>
    <xf numFmtId="0" fontId="61" fillId="0" borderId="77" xfId="2" applyNumberFormat="1" applyFont="1" applyFill="1" applyBorder="1" applyAlignment="1">
      <alignment horizontal="center"/>
    </xf>
    <xf numFmtId="0" fontId="62" fillId="0" borderId="76" xfId="2" applyNumberFormat="1" applyFont="1" applyFill="1" applyBorder="1" applyAlignment="1">
      <alignment horizontal="center"/>
    </xf>
    <xf numFmtId="0" fontId="62" fillId="0" borderId="77" xfId="2" applyNumberFormat="1" applyFont="1" applyFill="1" applyBorder="1" applyAlignment="1">
      <alignment horizontal="center"/>
    </xf>
    <xf numFmtId="0" fontId="59" fillId="13" borderId="53" xfId="2" applyNumberFormat="1" applyFont="1" applyFill="1" applyBorder="1" applyAlignment="1" applyProtection="1">
      <protection locked="0"/>
    </xf>
    <xf numFmtId="0" fontId="69" fillId="0" borderId="53" xfId="0" applyNumberFormat="1" applyFont="1" applyBorder="1" applyAlignment="1" applyProtection="1">
      <protection locked="0"/>
    </xf>
    <xf numFmtId="0" fontId="63" fillId="14" borderId="55" xfId="2" applyNumberFormat="1" applyFont="1" applyFill="1" applyBorder="1" applyAlignment="1">
      <alignment horizontal="center"/>
    </xf>
    <xf numFmtId="0" fontId="59" fillId="2" borderId="56" xfId="2" applyNumberFormat="1" applyFill="1" applyBorder="1" applyAlignment="1">
      <alignment horizontal="center"/>
    </xf>
    <xf numFmtId="0" fontId="59" fillId="2" borderId="24" xfId="2" applyNumberFormat="1" applyFill="1" applyBorder="1" applyAlignment="1">
      <alignment horizontal="center"/>
    </xf>
    <xf numFmtId="0" fontId="63" fillId="14" borderId="78" xfId="2" applyNumberFormat="1" applyFont="1" applyFill="1" applyBorder="1" applyAlignment="1">
      <alignment horizontal="center" vertical="center" wrapText="1"/>
    </xf>
    <xf numFmtId="0" fontId="63" fillId="14" borderId="40" xfId="2" applyNumberFormat="1" applyFont="1" applyFill="1" applyBorder="1" applyAlignment="1">
      <alignment horizontal="center" vertical="center" wrapText="1"/>
    </xf>
    <xf numFmtId="0" fontId="63" fillId="14" borderId="47" xfId="2" applyNumberFormat="1" applyFont="1" applyFill="1" applyBorder="1" applyAlignment="1">
      <alignment horizontal="center" vertical="center" wrapText="1"/>
    </xf>
    <xf numFmtId="0" fontId="63" fillId="14" borderId="78" xfId="2" applyNumberFormat="1" applyFont="1" applyFill="1" applyBorder="1" applyAlignment="1">
      <alignment horizontal="center" wrapText="1"/>
    </xf>
    <xf numFmtId="0" fontId="63" fillId="14" borderId="40" xfId="2" applyNumberFormat="1" applyFont="1" applyFill="1" applyBorder="1" applyAlignment="1">
      <alignment horizontal="center" wrapText="1"/>
    </xf>
    <xf numFmtId="0" fontId="63" fillId="14" borderId="47" xfId="2" applyNumberFormat="1" applyFont="1" applyFill="1" applyBorder="1" applyAlignment="1">
      <alignment horizontal="center" wrapText="1"/>
    </xf>
    <xf numFmtId="0" fontId="59" fillId="2" borderId="40" xfId="2" applyNumberFormat="1" applyFill="1" applyBorder="1" applyAlignment="1">
      <alignment horizontal="center" wrapText="1"/>
    </xf>
    <xf numFmtId="0" fontId="59" fillId="2" borderId="47" xfId="2" applyNumberFormat="1" applyFill="1" applyBorder="1" applyAlignment="1">
      <alignment horizontal="center" wrapText="1"/>
    </xf>
    <xf numFmtId="0" fontId="71" fillId="2" borderId="0" xfId="2" applyNumberFormat="1" applyFont="1" applyAlignment="1">
      <alignment horizontal="center"/>
    </xf>
    <xf numFmtId="0" fontId="59" fillId="2" borderId="15" xfId="2" applyNumberFormat="1" applyBorder="1" applyAlignment="1">
      <alignment horizontal="left"/>
    </xf>
    <xf numFmtId="165" fontId="54" fillId="0" borderId="0" xfId="0" applyFont="1" applyAlignment="1" applyProtection="1">
      <alignment horizontal="center"/>
    </xf>
  </cellXfs>
  <cellStyles count="4">
    <cellStyle name="Normal" xfId="0" builtinId="0"/>
    <cellStyle name="Normal_pcassurance2" xfId="1" xr:uid="{00000000-0005-0000-0000-000001000000}"/>
    <cellStyle name="Normal_qmc216" xfId="2" xr:uid="{00000000-0005-0000-0000-000002000000}"/>
    <cellStyle name="Normal_Sheet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1019175</xdr:colOff>
      <xdr:row>0</xdr:row>
      <xdr:rowOff>0</xdr:rowOff>
    </xdr:from>
    <xdr:to>
      <xdr:col>4</xdr:col>
      <xdr:colOff>685800</xdr:colOff>
      <xdr:row>1</xdr:row>
      <xdr:rowOff>171450</xdr:rowOff>
    </xdr:to>
    <xdr:pic>
      <xdr:nvPicPr>
        <xdr:cNvPr id="6182" name="Picture 3">
          <a:extLst>
            <a:ext uri="{FF2B5EF4-FFF2-40B4-BE49-F238E27FC236}">
              <a16:creationId xmlns:a16="http://schemas.microsoft.com/office/drawing/2014/main" id="{00000000-0008-0000-0C00-00002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0"/>
          <a:ext cx="3381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114300</xdr:rowOff>
    </xdr:from>
    <xdr:to>
      <xdr:col>9</xdr:col>
      <xdr:colOff>0</xdr:colOff>
      <xdr:row>10</xdr:row>
      <xdr:rowOff>137160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3195324-CA23-456C-8C1A-9475C3170974}"/>
            </a:ext>
          </a:extLst>
        </xdr:cNvPr>
        <xdr:cNvSpPr>
          <a:spLocks noChangeShapeType="1"/>
        </xdr:cNvSpPr>
      </xdr:nvSpPr>
      <xdr:spPr bwMode="auto">
        <a:xfrm>
          <a:off x="4857750" y="1647825"/>
          <a:ext cx="0" cy="5372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5</xdr:col>
      <xdr:colOff>367861</xdr:colOff>
      <xdr:row>1</xdr:row>
      <xdr:rowOff>227724</xdr:rowOff>
    </xdr:from>
    <xdr:to>
      <xdr:col>11</xdr:col>
      <xdr:colOff>82213</xdr:colOff>
      <xdr:row>4</xdr:row>
      <xdr:rowOff>151524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504292-BD1F-4425-9588-410F7C88BC8C}"/>
            </a:ext>
          </a:extLst>
        </xdr:cNvPr>
        <xdr:cNvSpPr txBox="1"/>
      </xdr:nvSpPr>
      <xdr:spPr>
        <a:xfrm>
          <a:off x="3349186" y="475374"/>
          <a:ext cx="2486127" cy="6667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*Measured span length between test apparatus supports - typically 12" for 4"x4" beams or 18" for 6"x6" beams.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4403" name="Line 1">
          <a:extLst>
            <a:ext uri="{FF2B5EF4-FFF2-40B4-BE49-F238E27FC236}">
              <a16:creationId xmlns:a16="http://schemas.microsoft.com/office/drawing/2014/main" id="{00000000-0008-0000-1100-000043380000}"/>
            </a:ext>
          </a:extLst>
        </xdr:cNvPr>
        <xdr:cNvSpPr>
          <a:spLocks noChangeShapeType="1"/>
        </xdr:cNvSpPr>
      </xdr:nvSpPr>
      <xdr:spPr bwMode="auto">
        <a:xfrm>
          <a:off x="962025" y="571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704850</xdr:colOff>
      <xdr:row>3</xdr:row>
      <xdr:rowOff>0</xdr:rowOff>
    </xdr:from>
    <xdr:to>
      <xdr:col>3</xdr:col>
      <xdr:colOff>19050</xdr:colOff>
      <xdr:row>3</xdr:row>
      <xdr:rowOff>0</xdr:rowOff>
    </xdr:to>
    <xdr:sp macro="" textlink="">
      <xdr:nvSpPr>
        <xdr:cNvPr id="14404" name="Line 2">
          <a:extLst>
            <a:ext uri="{FF2B5EF4-FFF2-40B4-BE49-F238E27FC236}">
              <a16:creationId xmlns:a16="http://schemas.microsoft.com/office/drawing/2014/main" id="{00000000-0008-0000-1100-000044380000}"/>
            </a:ext>
          </a:extLst>
        </xdr:cNvPr>
        <xdr:cNvSpPr>
          <a:spLocks noChangeShapeType="1"/>
        </xdr:cNvSpPr>
      </xdr:nvSpPr>
      <xdr:spPr bwMode="auto">
        <a:xfrm>
          <a:off x="1657350" y="57150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5427" name="Line 1">
          <a:extLst>
            <a:ext uri="{FF2B5EF4-FFF2-40B4-BE49-F238E27FC236}">
              <a16:creationId xmlns:a16="http://schemas.microsoft.com/office/drawing/2014/main" id="{00000000-0008-0000-1200-0000433C0000}"/>
            </a:ext>
          </a:extLst>
        </xdr:cNvPr>
        <xdr:cNvSpPr>
          <a:spLocks noChangeShapeType="1"/>
        </xdr:cNvSpPr>
      </xdr:nvSpPr>
      <xdr:spPr bwMode="auto">
        <a:xfrm>
          <a:off x="962025" y="571500"/>
          <a:ext cx="70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1</xdr:col>
      <xdr:colOff>704850</xdr:colOff>
      <xdr:row>3</xdr:row>
      <xdr:rowOff>0</xdr:rowOff>
    </xdr:from>
    <xdr:to>
      <xdr:col>3</xdr:col>
      <xdr:colOff>19050</xdr:colOff>
      <xdr:row>3</xdr:row>
      <xdr:rowOff>0</xdr:rowOff>
    </xdr:to>
    <xdr:sp macro="" textlink="">
      <xdr:nvSpPr>
        <xdr:cNvPr id="15428" name="Line 2">
          <a:extLst>
            <a:ext uri="{FF2B5EF4-FFF2-40B4-BE49-F238E27FC236}">
              <a16:creationId xmlns:a16="http://schemas.microsoft.com/office/drawing/2014/main" id="{00000000-0008-0000-1200-0000443C0000}"/>
            </a:ext>
          </a:extLst>
        </xdr:cNvPr>
        <xdr:cNvSpPr>
          <a:spLocks noChangeShapeType="1"/>
        </xdr:cNvSpPr>
      </xdr:nvSpPr>
      <xdr:spPr bwMode="auto">
        <a:xfrm>
          <a:off x="1657350" y="571500"/>
          <a:ext cx="74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opLeftCell="A3" zoomScale="87" workbookViewId="0">
      <selection activeCell="A8" sqref="A8:B8"/>
    </sheetView>
  </sheetViews>
  <sheetFormatPr defaultRowHeight="15"/>
  <cols>
    <col min="1" max="1" width="48.77734375" customWidth="1"/>
    <col min="2" max="2" width="13.77734375" customWidth="1"/>
    <col min="3" max="3" width="12.77734375" customWidth="1"/>
  </cols>
  <sheetData>
    <row r="1" spans="1:3">
      <c r="A1" s="321" t="s">
        <v>513</v>
      </c>
      <c r="B1" s="440"/>
      <c r="C1" s="322" t="s">
        <v>431</v>
      </c>
    </row>
    <row r="2" spans="1:3">
      <c r="A2" s="441" t="s">
        <v>459</v>
      </c>
      <c r="B2" s="441"/>
      <c r="C2" s="442"/>
    </row>
    <row r="3" spans="1:3">
      <c r="A3" s="443"/>
      <c r="B3" s="443"/>
      <c r="C3" s="443"/>
    </row>
    <row r="4" spans="1:3" ht="15.75" thickBot="1">
      <c r="A4" s="444" t="s">
        <v>432</v>
      </c>
      <c r="B4" s="445" t="s">
        <v>433</v>
      </c>
      <c r="C4" s="446" t="s">
        <v>434</v>
      </c>
    </row>
    <row r="5" spans="1:3" ht="15.75" thickTop="1">
      <c r="A5" s="447" t="s">
        <v>435</v>
      </c>
      <c r="B5" s="448" t="s">
        <v>213</v>
      </c>
      <c r="C5" s="449"/>
    </row>
    <row r="6" spans="1:3">
      <c r="A6" s="447" t="s">
        <v>442</v>
      </c>
      <c r="B6" s="450" t="s">
        <v>438</v>
      </c>
      <c r="C6" s="449"/>
    </row>
    <row r="7" spans="1:3">
      <c r="A7" s="447" t="s">
        <v>519</v>
      </c>
      <c r="B7" s="450" t="s">
        <v>450</v>
      </c>
      <c r="C7" s="449"/>
    </row>
    <row r="8" spans="1:3">
      <c r="A8" s="447" t="s">
        <v>520</v>
      </c>
      <c r="B8" s="450" t="s">
        <v>449</v>
      </c>
      <c r="C8" s="449"/>
    </row>
    <row r="9" spans="1:3">
      <c r="A9" s="447" t="s">
        <v>436</v>
      </c>
      <c r="B9" s="450" t="s">
        <v>437</v>
      </c>
      <c r="C9" s="449"/>
    </row>
    <row r="10" spans="1:3">
      <c r="A10" s="451" t="s">
        <v>444</v>
      </c>
      <c r="B10" s="450" t="s">
        <v>443</v>
      </c>
      <c r="C10" s="449"/>
    </row>
    <row r="11" spans="1:3">
      <c r="A11" s="447" t="s">
        <v>448</v>
      </c>
      <c r="B11" s="450" t="s">
        <v>439</v>
      </c>
      <c r="C11" s="449"/>
    </row>
    <row r="12" spans="1:3">
      <c r="A12" s="447" t="s">
        <v>446</v>
      </c>
      <c r="B12" s="453" t="s">
        <v>445</v>
      </c>
      <c r="C12" s="449"/>
    </row>
    <row r="13" spans="1:3">
      <c r="A13" s="451" t="s">
        <v>440</v>
      </c>
      <c r="B13" s="452" t="s">
        <v>447</v>
      </c>
      <c r="C13" s="449"/>
    </row>
    <row r="14" spans="1:3">
      <c r="A14" s="451" t="s">
        <v>562</v>
      </c>
      <c r="B14" s="452" t="s">
        <v>561</v>
      </c>
      <c r="C14" s="449"/>
    </row>
    <row r="15" spans="1:3">
      <c r="A15" s="451" t="s">
        <v>441</v>
      </c>
      <c r="B15" s="452" t="s">
        <v>475</v>
      </c>
      <c r="C15" s="449"/>
    </row>
    <row r="16" spans="1:3">
      <c r="A16" s="451" t="s">
        <v>521</v>
      </c>
      <c r="B16" s="452" t="s">
        <v>522</v>
      </c>
      <c r="C16" s="452"/>
    </row>
    <row r="17" spans="1:3">
      <c r="A17" s="451"/>
      <c r="B17" s="450"/>
      <c r="C17" s="449"/>
    </row>
    <row r="18" spans="1:3">
      <c r="A18" s="447"/>
      <c r="B18" s="450"/>
      <c r="C18" s="449"/>
    </row>
    <row r="19" spans="1:3">
      <c r="A19" s="447"/>
      <c r="B19" s="450"/>
      <c r="C19" s="449"/>
    </row>
    <row r="20" spans="1:3">
      <c r="A20" s="447"/>
      <c r="B20" s="450"/>
      <c r="C20" s="449"/>
    </row>
    <row r="21" spans="1:3">
      <c r="A21" s="447"/>
      <c r="B21" s="450"/>
      <c r="C21" s="449"/>
    </row>
    <row r="22" spans="1:3">
      <c r="A22" s="447"/>
      <c r="B22" s="450"/>
      <c r="C22" s="449"/>
    </row>
    <row r="23" spans="1:3">
      <c r="A23" s="451"/>
      <c r="B23" s="452"/>
      <c r="C23" s="451"/>
    </row>
    <row r="24" spans="1:3">
      <c r="A24" s="447"/>
      <c r="B24" s="450"/>
      <c r="C24" s="449"/>
    </row>
    <row r="25" spans="1:3">
      <c r="A25" s="447"/>
      <c r="B25" s="450"/>
      <c r="C25" s="449"/>
    </row>
    <row r="26" spans="1:3">
      <c r="A26" s="447"/>
      <c r="B26" s="450"/>
      <c r="C26" s="449"/>
    </row>
    <row r="27" spans="1:3">
      <c r="A27" s="447"/>
      <c r="B27" s="450"/>
      <c r="C27" s="449"/>
    </row>
    <row r="28" spans="1:3">
      <c r="A28" s="447"/>
      <c r="B28" s="450"/>
      <c r="C28" s="449"/>
    </row>
    <row r="29" spans="1:3">
      <c r="A29" s="447"/>
      <c r="B29" s="450"/>
      <c r="C29" s="449"/>
    </row>
    <row r="30" spans="1:3">
      <c r="A30" s="447"/>
      <c r="B30" s="450"/>
      <c r="C30" s="449"/>
    </row>
    <row r="31" spans="1:3">
      <c r="A31" s="447"/>
      <c r="B31" s="450"/>
      <c r="C31" s="449"/>
    </row>
    <row r="32" spans="1:3">
      <c r="A32" s="447"/>
      <c r="B32" s="450"/>
      <c r="C32" s="449"/>
    </row>
    <row r="33" spans="1:3">
      <c r="A33" s="447"/>
      <c r="B33" s="450"/>
      <c r="C33" s="449"/>
    </row>
    <row r="34" spans="1:3">
      <c r="A34" s="447"/>
      <c r="B34" s="450"/>
      <c r="C34" s="449"/>
    </row>
    <row r="35" spans="1:3">
      <c r="A35" s="447"/>
      <c r="B35" s="450"/>
      <c r="C35" s="449"/>
    </row>
    <row r="36" spans="1:3">
      <c r="A36" s="447"/>
      <c r="B36" s="450"/>
      <c r="C36" s="449"/>
    </row>
    <row r="37" spans="1:3">
      <c r="A37" s="447"/>
      <c r="B37" s="450"/>
      <c r="C37" s="449"/>
    </row>
    <row r="38" spans="1:3">
      <c r="A38" s="447"/>
      <c r="B38" s="450"/>
      <c r="C38" s="449"/>
    </row>
    <row r="39" spans="1:3">
      <c r="A39" s="447"/>
      <c r="B39" s="450"/>
      <c r="C39" s="449"/>
    </row>
  </sheetData>
  <sheetProtection sheet="1" objects="1" scenarios="1"/>
  <phoneticPr fontId="48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AE52"/>
  <sheetViews>
    <sheetView defaultGridColor="0" view="pageBreakPreview" topLeftCell="A13" colorId="22" zoomScale="75" zoomScaleNormal="60" workbookViewId="0">
      <pane xSplit="1" topLeftCell="B1" activePane="topRight" state="frozen"/>
      <selection pane="topRight" activeCell="J22" sqref="J22:J31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55468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364</v>
      </c>
      <c r="B1" s="515"/>
    </row>
    <row r="2" spans="1:29" ht="21" customHeight="1">
      <c r="A2" s="44" t="s">
        <v>145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146</v>
      </c>
      <c r="B3" s="212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09" t="s">
        <v>144</v>
      </c>
      <c r="B4" s="193"/>
      <c r="C4" s="569" t="s">
        <v>31</v>
      </c>
      <c r="D4" s="573"/>
      <c r="E4" s="185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132</v>
      </c>
      <c r="U4" s="45"/>
      <c r="V4" s="45"/>
      <c r="W4" s="45"/>
      <c r="Y4" s="48" t="s">
        <v>73</v>
      </c>
      <c r="Z4" s="45"/>
    </row>
    <row r="5" spans="1:29" ht="21" customHeight="1" thickTop="1">
      <c r="A5" s="33" t="s">
        <v>493</v>
      </c>
      <c r="B5" s="194"/>
      <c r="C5" s="29"/>
      <c r="D5" s="574" t="str">
        <f>IF(E4&lt;5,"",IF(E4&lt;99.5,"Check Weights.",IF(E4&gt;100.5,"Check Weights","")))</f>
        <v/>
      </c>
      <c r="E5" s="575"/>
      <c r="F5" s="35"/>
      <c r="G5" s="189">
        <f t="shared" ref="G5:G12" si="0">IF($M$14=100,$M5,IF($N$14=100,$N5,IF($O$14=100,$O5,IF($P$14=100,$P5,IF($Q$14=100,$Q5,IF($R$14=100,$R5,$R5))))))</f>
        <v>0.1</v>
      </c>
      <c r="H5" s="189">
        <f>IF(D12=0,0,100)</f>
        <v>0</v>
      </c>
      <c r="I5" s="190">
        <f t="shared" ref="I5:I11" si="1">IF(H5&gt;9.9,ROUND(H5,0),ROUND(H5,1))</f>
        <v>0</v>
      </c>
      <c r="J5" s="13" t="str">
        <f>IF('Proj Info'!B39=" "," ",'Proj Info'!B39)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74</v>
      </c>
      <c r="U5" s="50"/>
      <c r="V5" s="50"/>
      <c r="W5" s="51"/>
      <c r="X5" s="52"/>
      <c r="Y5" s="52">
        <f>'QMC Mix'!D18</f>
        <v>0</v>
      </c>
      <c r="Z5" s="53" t="e">
        <f>Y5/(SUM($Y$5:$Y$7))</f>
        <v>#DIV/0!</v>
      </c>
    </row>
    <row r="6" spans="1:29" ht="21" customHeight="1">
      <c r="A6" s="33" t="s">
        <v>494</v>
      </c>
      <c r="B6" s="194"/>
      <c r="C6" s="29"/>
      <c r="D6" s="31"/>
      <c r="E6" s="29"/>
      <c r="F6" s="29"/>
      <c r="G6" s="189">
        <f t="shared" si="0"/>
        <v>0.1</v>
      </c>
      <c r="H6" s="189">
        <f t="shared" ref="H6:H11" si="8">IF(H5=0,0,(H5-G6))</f>
        <v>0</v>
      </c>
      <c r="I6" s="190">
        <f t="shared" si="1"/>
        <v>0</v>
      </c>
      <c r="J6" s="13" t="str">
        <f>IF('Proj Info'!B40=" "," ",'Proj Info'!B40)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75</v>
      </c>
      <c r="U6" s="55"/>
      <c r="V6" s="55"/>
      <c r="W6" s="56"/>
      <c r="X6" s="57"/>
      <c r="Y6" s="58">
        <f>'QMC Mix'!D19</f>
        <v>0</v>
      </c>
      <c r="Z6" s="59" t="e">
        <f>Y6/(SUM($Y$5:$Y$7))</f>
        <v>#DIV/0!</v>
      </c>
    </row>
    <row r="7" spans="1:29" ht="21" customHeight="1" thickBot="1">
      <c r="A7" s="33" t="s">
        <v>495</v>
      </c>
      <c r="B7" s="194"/>
      <c r="C7" s="29"/>
      <c r="D7" s="29"/>
      <c r="E7" s="29"/>
      <c r="F7" s="29"/>
      <c r="G7" s="189">
        <f t="shared" si="0"/>
        <v>0.1</v>
      </c>
      <c r="H7" s="189">
        <f t="shared" si="8"/>
        <v>0</v>
      </c>
      <c r="I7" s="190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76</v>
      </c>
      <c r="U7" s="61"/>
      <c r="V7" s="61"/>
      <c r="W7" s="62"/>
      <c r="X7" s="63"/>
      <c r="Y7" s="64">
        <f>'QMC Mix'!D20</f>
        <v>0</v>
      </c>
      <c r="Z7" s="65" t="e">
        <f>Y7/(SUM($Y$5:Y$7))</f>
        <v>#DIV/0!</v>
      </c>
    </row>
    <row r="8" spans="1:29" ht="21" customHeight="1" thickTop="1">
      <c r="A8" s="33" t="s">
        <v>496</v>
      </c>
      <c r="B8" s="194"/>
      <c r="C8" s="29"/>
      <c r="D8" s="29"/>
      <c r="E8" s="29"/>
      <c r="F8" s="29"/>
      <c r="G8" s="189">
        <f t="shared" si="0"/>
        <v>0.1</v>
      </c>
      <c r="H8" s="189">
        <f t="shared" si="8"/>
        <v>0</v>
      </c>
      <c r="I8" s="190">
        <f t="shared" si="1"/>
        <v>0</v>
      </c>
      <c r="J8" s="13" t="str">
        <f>IF('Proj Info'!B42=" "," ",'Proj Info'!B42)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497</v>
      </c>
      <c r="B9" s="194"/>
      <c r="C9" s="29"/>
      <c r="D9" s="29"/>
      <c r="E9" s="29"/>
      <c r="F9" s="29"/>
      <c r="G9" s="189">
        <f t="shared" si="0"/>
        <v>0.1</v>
      </c>
      <c r="H9" s="189">
        <f t="shared" si="8"/>
        <v>0</v>
      </c>
      <c r="I9" s="190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498</v>
      </c>
      <c r="B10" s="194"/>
      <c r="C10" s="29"/>
      <c r="D10" s="29"/>
      <c r="E10" s="29"/>
      <c r="F10" s="29"/>
      <c r="G10" s="189">
        <f t="shared" si="0"/>
        <v>0.1</v>
      </c>
      <c r="H10" s="189">
        <f t="shared" si="8"/>
        <v>0</v>
      </c>
      <c r="I10" s="190">
        <f t="shared" si="1"/>
        <v>0</v>
      </c>
      <c r="J10" s="13" t="str">
        <f>IF('Proj Info'!B44=" "," ",'Proj Info'!B44)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499</v>
      </c>
      <c r="B11" s="194"/>
      <c r="C11" s="29"/>
      <c r="D11" s="36" t="s">
        <v>27</v>
      </c>
      <c r="E11" s="29"/>
      <c r="F11" s="29"/>
      <c r="G11" s="189">
        <f t="shared" si="0"/>
        <v>0.1</v>
      </c>
      <c r="H11" s="189">
        <f t="shared" si="8"/>
        <v>0</v>
      </c>
      <c r="I11" s="190">
        <f t="shared" si="1"/>
        <v>0</v>
      </c>
      <c r="J11" s="13" t="str">
        <f>IF('Proj Info'!B45=" "," ",'Proj Info'!B45)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39</v>
      </c>
      <c r="B12" s="187"/>
      <c r="C12" s="29"/>
      <c r="D12" s="192">
        <f>IF(B12="",0,SUM(B5:B12))</f>
        <v>0</v>
      </c>
      <c r="E12" s="29"/>
      <c r="F12" s="29"/>
      <c r="G12" s="189">
        <f t="shared" si="0"/>
        <v>0.1</v>
      </c>
      <c r="H12" s="37"/>
      <c r="I12" s="37"/>
      <c r="J12" s="210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90</v>
      </c>
      <c r="U12" s="45"/>
      <c r="V12" s="45"/>
      <c r="W12" s="45"/>
      <c r="X12" s="48"/>
      <c r="Y12" s="48"/>
      <c r="Z12" s="45"/>
      <c r="AA12" s="92"/>
      <c r="AB12" s="92"/>
      <c r="AC12" s="93"/>
    </row>
    <row r="13" spans="1:29" ht="21" customHeight="1" thickBot="1">
      <c r="A13" s="509" t="s">
        <v>500</v>
      </c>
      <c r="B13" s="195"/>
      <c r="C13" s="37" t="s">
        <v>37</v>
      </c>
      <c r="D13" s="29"/>
      <c r="E13" s="29"/>
      <c r="F13" s="29"/>
      <c r="G13" s="189">
        <f>SUM(G5:G12)</f>
        <v>0.79999999999999993</v>
      </c>
      <c r="H13" s="191"/>
      <c r="I13" s="191"/>
      <c r="J13" s="210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4"/>
      <c r="Y13" s="94"/>
      <c r="Z13" s="66"/>
      <c r="AA13" s="66"/>
      <c r="AB13" s="66"/>
      <c r="AC13" s="2"/>
    </row>
    <row r="14" spans="1:29" ht="21" customHeight="1" thickTop="1">
      <c r="A14" s="510" t="s">
        <v>501</v>
      </c>
      <c r="B14" s="196"/>
      <c r="C14" s="37" t="s">
        <v>38</v>
      </c>
      <c r="D14" s="29"/>
      <c r="E14" s="29"/>
      <c r="F14" s="29"/>
      <c r="G14" s="191"/>
      <c r="H14" s="38" t="s">
        <v>17</v>
      </c>
      <c r="I14" s="188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77</v>
      </c>
      <c r="Z14" s="68" t="s">
        <v>78</v>
      </c>
      <c r="AA14" s="68" t="s">
        <v>78</v>
      </c>
      <c r="AB14" s="68" t="s">
        <v>78</v>
      </c>
      <c r="AC14" s="69"/>
    </row>
    <row r="15" spans="1:29" ht="21" customHeight="1">
      <c r="A15" s="33" t="s">
        <v>39</v>
      </c>
      <c r="B15" s="187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79</v>
      </c>
      <c r="U15" s="71" t="s">
        <v>16</v>
      </c>
      <c r="V15" s="71" t="s">
        <v>16</v>
      </c>
      <c r="W15" s="71" t="s">
        <v>16</v>
      </c>
      <c r="X15" s="71"/>
      <c r="Y15" s="71" t="s">
        <v>80</v>
      </c>
      <c r="Z15" s="71" t="s">
        <v>81</v>
      </c>
      <c r="AA15" s="71" t="s">
        <v>82</v>
      </c>
      <c r="AB15" s="71" t="s">
        <v>83</v>
      </c>
      <c r="AC15" s="72" t="s">
        <v>84</v>
      </c>
    </row>
    <row r="16" spans="1:29" ht="21" customHeight="1">
      <c r="A16" s="33" t="s">
        <v>41</v>
      </c>
      <c r="B16" s="188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85</v>
      </c>
      <c r="U16" s="71" t="s">
        <v>71</v>
      </c>
      <c r="V16" s="71" t="s">
        <v>71</v>
      </c>
      <c r="W16" s="71" t="s">
        <v>71</v>
      </c>
      <c r="X16" s="71"/>
      <c r="Y16" s="71" t="s">
        <v>86</v>
      </c>
      <c r="Z16" s="71" t="s">
        <v>86</v>
      </c>
      <c r="AA16" s="71" t="s">
        <v>86</v>
      </c>
      <c r="AB16" s="71" t="s">
        <v>86</v>
      </c>
      <c r="AC16" s="73" t="s">
        <v>81</v>
      </c>
    </row>
    <row r="17" spans="1:31" ht="21" customHeight="1" thickBot="1">
      <c r="A17" s="33" t="s">
        <v>43</v>
      </c>
      <c r="B17" s="197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87</v>
      </c>
      <c r="V17" s="75" t="s">
        <v>87</v>
      </c>
      <c r="W17" s="75" t="s">
        <v>87</v>
      </c>
      <c r="X17" s="75"/>
      <c r="Y17" s="75" t="s">
        <v>87</v>
      </c>
      <c r="Z17" s="75" t="s">
        <v>87</v>
      </c>
      <c r="AA17" s="75" t="s">
        <v>87</v>
      </c>
      <c r="AB17" s="75" t="s">
        <v>87</v>
      </c>
      <c r="AC17" s="76"/>
    </row>
    <row r="18" spans="1:31" ht="21" customHeight="1" thickTop="1">
      <c r="A18" s="33" t="s">
        <v>502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88</v>
      </c>
      <c r="U19" s="83">
        <f>'Grad 3'!I5</f>
        <v>0</v>
      </c>
      <c r="V19" s="83">
        <f>'Grad 3'!I22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519" t="str">
        <f>X19</f>
        <v xml:space="preserve"> </v>
      </c>
      <c r="Z19" s="83">
        <f>'Grad 1'!Z19</f>
        <v>100</v>
      </c>
      <c r="AA19" s="101">
        <f t="shared" ref="AA19:AA24" si="10">IF((Z19-5)&gt;0,Z19-5,0)</f>
        <v>95</v>
      </c>
      <c r="AB19" s="101">
        <f t="shared" ref="AB19:AB24" si="11">IF(Z19+5&gt;100,100,Z19+5)</f>
        <v>100</v>
      </c>
      <c r="AC19" s="81" t="str">
        <f t="shared" ref="AC19:AC30" si="12">IF(AND(AA19&lt;=X19,X19&lt;=AB19),"Yes","No")</f>
        <v>No</v>
      </c>
      <c r="AD19" s="100">
        <f>IF(AC19="YES",1,0)</f>
        <v>0</v>
      </c>
      <c r="AE19" t="str">
        <f>CONCATENATE(AA19,"-",AB19)</f>
        <v>95-100</v>
      </c>
    </row>
    <row r="20" spans="1:31" ht="21" customHeight="1">
      <c r="A20" s="25" t="s">
        <v>503</v>
      </c>
      <c r="B20" s="212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59</v>
      </c>
      <c r="U20" s="83">
        <f>'Grad 3'!I6</f>
        <v>0</v>
      </c>
      <c r="V20" s="83">
        <f>'Grad 3'!I23</f>
        <v>0</v>
      </c>
      <c r="W20" s="83">
        <v>100</v>
      </c>
      <c r="X20" s="84" t="str">
        <f t="shared" ref="X20:X30" si="13">IF($B$4=0," ",IF($B$20=" ",U20*$Z$5+W20*$Z$7,U20*$Z$5+V20*$Z$6+W20*Z$7))</f>
        <v xml:space="preserve"> </v>
      </c>
      <c r="Y20" s="519" t="str">
        <f t="shared" ref="Y20:Y30" si="14">X20</f>
        <v xml:space="preserve"> </v>
      </c>
      <c r="Z20" s="83">
        <f>'Grad 1'!Z20</f>
        <v>0</v>
      </c>
      <c r="AA20" s="101">
        <f t="shared" si="10"/>
        <v>0</v>
      </c>
      <c r="AB20" s="101">
        <f t="shared" si="11"/>
        <v>5</v>
      </c>
      <c r="AC20" s="81" t="str">
        <f t="shared" si="12"/>
        <v>No</v>
      </c>
      <c r="AD20" s="100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511" t="s">
        <v>500</v>
      </c>
      <c r="B21" s="193"/>
      <c r="C21" s="569" t="s">
        <v>31</v>
      </c>
      <c r="D21" s="573"/>
      <c r="E21" s="185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60</v>
      </c>
      <c r="U21" s="83">
        <f>'Grad 3'!I7</f>
        <v>0</v>
      </c>
      <c r="V21" s="83">
        <f>'Grad 3'!I24</f>
        <v>0</v>
      </c>
      <c r="W21" s="83">
        <v>100</v>
      </c>
      <c r="X21" s="84" t="str">
        <f t="shared" si="13"/>
        <v xml:space="preserve"> </v>
      </c>
      <c r="Y21" s="519" t="str">
        <f t="shared" si="14"/>
        <v xml:space="preserve"> </v>
      </c>
      <c r="Z21" s="83">
        <f>'Grad 1'!Z21</f>
        <v>0</v>
      </c>
      <c r="AA21" s="101">
        <f t="shared" si="10"/>
        <v>0</v>
      </c>
      <c r="AB21" s="101">
        <f t="shared" si="11"/>
        <v>5</v>
      </c>
      <c r="AC21" s="81" t="str">
        <f t="shared" si="12"/>
        <v>No</v>
      </c>
      <c r="AD21" s="100">
        <f t="shared" si="15"/>
        <v>0</v>
      </c>
      <c r="AE21" t="str">
        <f t="shared" si="16"/>
        <v>0-5</v>
      </c>
    </row>
    <row r="22" spans="1:31" ht="21" customHeight="1">
      <c r="A22" s="33" t="s">
        <v>493</v>
      </c>
      <c r="B22" s="194"/>
      <c r="C22" s="29"/>
      <c r="D22" s="574" t="str">
        <f>IF(E21&lt;5,"",IF(E21&lt;99.5,"Check Weights.",IF(E21&gt;100.5,"Check Weights","")))</f>
        <v/>
      </c>
      <c r="E22" s="575"/>
      <c r="F22" s="35"/>
      <c r="G22" s="189">
        <f>IF($M$22=100,$M22,IF($N$22=100,$N22,IF($O$22=100,$O22,IF($P$22=100,$P22,IF($Q$22=100,$Q22,IF($R$22=100,$R22,$R22))))))</f>
        <v>0.1</v>
      </c>
      <c r="H22" s="189">
        <f>IF(D29=0,0,100)</f>
        <v>0</v>
      </c>
      <c r="I22" s="190">
        <f t="shared" ref="I22:I28" si="17">IF(H22&gt;9.9,ROUND(H22,0),ROUND(H22,1))</f>
        <v>0</v>
      </c>
      <c r="J22" s="199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61</v>
      </c>
      <c r="U22" s="83">
        <f>'Grad 3'!I8</f>
        <v>0</v>
      </c>
      <c r="V22" s="83">
        <f>'Grad 3'!I25</f>
        <v>0</v>
      </c>
      <c r="W22" s="83">
        <f>'Grad 3'!I41</f>
        <v>0</v>
      </c>
      <c r="X22" s="84" t="str">
        <f t="shared" si="13"/>
        <v xml:space="preserve"> </v>
      </c>
      <c r="Y22" s="519" t="str">
        <f t="shared" si="14"/>
        <v xml:space="preserve"> </v>
      </c>
      <c r="Z22" s="83">
        <f>'Grad 1'!Z22</f>
        <v>0</v>
      </c>
      <c r="AA22" s="101">
        <f t="shared" si="10"/>
        <v>0</v>
      </c>
      <c r="AB22" s="101">
        <f t="shared" si="11"/>
        <v>5</v>
      </c>
      <c r="AC22" s="81" t="str">
        <f t="shared" si="12"/>
        <v>No</v>
      </c>
      <c r="AD22" s="100">
        <f t="shared" si="15"/>
        <v>0</v>
      </c>
      <c r="AE22" t="str">
        <f t="shared" si="16"/>
        <v>0-5</v>
      </c>
    </row>
    <row r="23" spans="1:31" ht="21" customHeight="1">
      <c r="A23" s="33" t="s">
        <v>494</v>
      </c>
      <c r="B23" s="194"/>
      <c r="C23" s="29"/>
      <c r="D23" s="31"/>
      <c r="E23" s="29"/>
      <c r="F23" s="29"/>
      <c r="G23" s="189">
        <f>IF($M$23=100,$M23,IF($N$23=100,$N23,IF($O$23=100,$O23,IF($P$23=100,$P23,IF($Q$23=100,$Q23,IF($R$23=100,$R23,$R23))))))</f>
        <v>0.1</v>
      </c>
      <c r="H23" s="189">
        <f t="shared" ref="H23:H28" si="18">IF(H22=0,0,(H22-G23))</f>
        <v>0</v>
      </c>
      <c r="I23" s="190">
        <f t="shared" si="17"/>
        <v>0</v>
      </c>
      <c r="J23" s="199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T23" s="82" t="s">
        <v>62</v>
      </c>
      <c r="U23" s="83">
        <f>'Grad 3'!I9</f>
        <v>0</v>
      </c>
      <c r="V23" s="83">
        <f>'Grad 3'!I26</f>
        <v>0</v>
      </c>
      <c r="W23" s="83">
        <f>'Grad 3'!I42</f>
        <v>0</v>
      </c>
      <c r="X23" s="84" t="str">
        <f t="shared" si="13"/>
        <v xml:space="preserve"> </v>
      </c>
      <c r="Y23" s="519" t="str">
        <f t="shared" si="14"/>
        <v xml:space="preserve"> </v>
      </c>
      <c r="Z23" s="83">
        <f>'Grad 1'!Z23</f>
        <v>0</v>
      </c>
      <c r="AA23" s="101">
        <f t="shared" si="10"/>
        <v>0</v>
      </c>
      <c r="AB23" s="101">
        <f t="shared" si="11"/>
        <v>5</v>
      </c>
      <c r="AC23" s="81" t="str">
        <f t="shared" si="12"/>
        <v>No</v>
      </c>
      <c r="AD23" s="100">
        <f t="shared" si="15"/>
        <v>0</v>
      </c>
      <c r="AE23" t="str">
        <f t="shared" si="16"/>
        <v>0-5</v>
      </c>
    </row>
    <row r="24" spans="1:31" ht="21" customHeight="1">
      <c r="A24" s="33" t="s">
        <v>495</v>
      </c>
      <c r="B24" s="194"/>
      <c r="C24" s="29"/>
      <c r="D24" s="29"/>
      <c r="E24" s="29"/>
      <c r="F24" s="29"/>
      <c r="G24" s="189">
        <f t="shared" ref="G24:G29" si="25">IF($M$14=100,$M24,IF($N$14=100,$N24,IF($O$14=100,$O24,IF($P$14=100,$P24,IF($Q$14=100,$Q24,IF($R$14=100,$R24,$R24))))))</f>
        <v>0.1</v>
      </c>
      <c r="H24" s="189">
        <f t="shared" si="18"/>
        <v>0</v>
      </c>
      <c r="I24" s="190">
        <f t="shared" si="17"/>
        <v>0</v>
      </c>
      <c r="J24" s="55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T24" s="82" t="s">
        <v>63</v>
      </c>
      <c r="U24" s="83">
        <f>'Grad 3'!I10</f>
        <v>0</v>
      </c>
      <c r="V24" s="83">
        <f>'Grad 3'!I27</f>
        <v>0</v>
      </c>
      <c r="W24" s="83">
        <f>'Grad 3'!I43</f>
        <v>0</v>
      </c>
      <c r="X24" s="84" t="str">
        <f t="shared" si="13"/>
        <v xml:space="preserve"> </v>
      </c>
      <c r="Y24" s="519" t="str">
        <f t="shared" si="14"/>
        <v xml:space="preserve"> </v>
      </c>
      <c r="Z24" s="83">
        <f>'Grad 1'!Z24</f>
        <v>0</v>
      </c>
      <c r="AA24" s="101">
        <f t="shared" si="10"/>
        <v>0</v>
      </c>
      <c r="AB24" s="101">
        <f t="shared" si="11"/>
        <v>5</v>
      </c>
      <c r="AC24" s="81" t="str">
        <f t="shared" si="12"/>
        <v>No</v>
      </c>
      <c r="AD24" s="100">
        <f t="shared" si="15"/>
        <v>0</v>
      </c>
      <c r="AE24" t="str">
        <f t="shared" si="16"/>
        <v>0-5</v>
      </c>
    </row>
    <row r="25" spans="1:31" ht="21" customHeight="1">
      <c r="A25" s="33" t="s">
        <v>496</v>
      </c>
      <c r="B25" s="194"/>
      <c r="C25" s="29"/>
      <c r="D25" s="29"/>
      <c r="E25" s="29"/>
      <c r="F25" s="29"/>
      <c r="G25" s="189">
        <f t="shared" si="25"/>
        <v>0.1</v>
      </c>
      <c r="H25" s="189">
        <f t="shared" si="18"/>
        <v>0</v>
      </c>
      <c r="I25" s="190">
        <f t="shared" si="17"/>
        <v>0</v>
      </c>
      <c r="J25" s="55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T25" s="82" t="s">
        <v>64</v>
      </c>
      <c r="U25" s="83">
        <f>'Grad 3'!I11</f>
        <v>0</v>
      </c>
      <c r="V25" s="83">
        <f>'Grad 3'!I28</f>
        <v>0</v>
      </c>
      <c r="W25" s="83">
        <f>'Grad 3'!I44</f>
        <v>0</v>
      </c>
      <c r="X25" s="84" t="str">
        <f t="shared" si="13"/>
        <v xml:space="preserve"> </v>
      </c>
      <c r="Y25" s="519" t="str">
        <f t="shared" si="14"/>
        <v xml:space="preserve"> </v>
      </c>
      <c r="Z25" s="83">
        <f>'Grad 1'!Z25</f>
        <v>0</v>
      </c>
      <c r="AA25" s="101">
        <f>IF((Z25-4)&gt;0,Z25-4,0)</f>
        <v>0</v>
      </c>
      <c r="AB25" s="101">
        <f>Z25+4</f>
        <v>4</v>
      </c>
      <c r="AC25" s="81" t="str">
        <f t="shared" si="12"/>
        <v>No</v>
      </c>
      <c r="AD25" s="100">
        <f t="shared" si="15"/>
        <v>0</v>
      </c>
      <c r="AE25" t="str">
        <f t="shared" si="16"/>
        <v>0-4</v>
      </c>
    </row>
    <row r="26" spans="1:31" ht="21" customHeight="1">
      <c r="A26" s="33" t="s">
        <v>497</v>
      </c>
      <c r="B26" s="194"/>
      <c r="C26" s="29"/>
      <c r="D26" s="29"/>
      <c r="E26" s="29"/>
      <c r="F26" s="29"/>
      <c r="G26" s="189">
        <f t="shared" si="25"/>
        <v>0.1</v>
      </c>
      <c r="H26" s="189">
        <f t="shared" si="18"/>
        <v>0</v>
      </c>
      <c r="I26" s="190">
        <f t="shared" si="17"/>
        <v>0</v>
      </c>
      <c r="J26" s="55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T26" s="82" t="s">
        <v>65</v>
      </c>
      <c r="U26" s="86">
        <f>U25-($U$25-$U$30)/5</f>
        <v>0</v>
      </c>
      <c r="V26" s="86">
        <f>V25-($V$25-$V$30)/5</f>
        <v>0</v>
      </c>
      <c r="W26" s="83">
        <f>'Grad 3'!I45</f>
        <v>0</v>
      </c>
      <c r="X26" s="84" t="str">
        <f t="shared" si="13"/>
        <v xml:space="preserve"> </v>
      </c>
      <c r="Y26" s="519" t="str">
        <f t="shared" si="14"/>
        <v xml:space="preserve"> </v>
      </c>
      <c r="Z26" s="83">
        <f>'Grad 1'!Z26</f>
        <v>0</v>
      </c>
      <c r="AA26" s="101">
        <f>IF((Z26-4)&gt;0,Z26-4,0)</f>
        <v>0</v>
      </c>
      <c r="AB26" s="101">
        <f>Z26+4</f>
        <v>4</v>
      </c>
      <c r="AC26" s="81" t="str">
        <f t="shared" si="12"/>
        <v>No</v>
      </c>
      <c r="AD26" s="100">
        <f t="shared" si="15"/>
        <v>0</v>
      </c>
      <c r="AE26" t="str">
        <f t="shared" si="16"/>
        <v>0-4</v>
      </c>
    </row>
    <row r="27" spans="1:31" ht="21" customHeight="1">
      <c r="A27" s="33" t="s">
        <v>498</v>
      </c>
      <c r="B27" s="194"/>
      <c r="C27" s="29"/>
      <c r="D27" s="29"/>
      <c r="E27" s="29"/>
      <c r="F27" s="29"/>
      <c r="G27" s="189">
        <f t="shared" si="25"/>
        <v>0.1</v>
      </c>
      <c r="H27" s="189">
        <f t="shared" si="18"/>
        <v>0</v>
      </c>
      <c r="I27" s="190">
        <f t="shared" si="17"/>
        <v>0</v>
      </c>
      <c r="J27" s="554" t="str">
        <f>IF('Proj Info'!B50=" "," ",'Proj Info'!B50)</f>
        <v>0-30</v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T27" s="82" t="s">
        <v>66</v>
      </c>
      <c r="U27" s="86">
        <f>U26-($U$25-$U$30)/5</f>
        <v>0</v>
      </c>
      <c r="V27" s="86">
        <f>V26-($V$25-$V$30)/5</f>
        <v>0</v>
      </c>
      <c r="W27" s="83">
        <f>'Grad 3'!I46</f>
        <v>0</v>
      </c>
      <c r="X27" s="84" t="str">
        <f t="shared" si="13"/>
        <v xml:space="preserve"> </v>
      </c>
      <c r="Y27" s="519" t="str">
        <f t="shared" si="14"/>
        <v xml:space="preserve"> </v>
      </c>
      <c r="Z27" s="83">
        <f>'Grad 1'!Z27</f>
        <v>0</v>
      </c>
      <c r="AA27" s="101">
        <f>IF((Z27-4)&gt;0,Z27-4,0)</f>
        <v>0</v>
      </c>
      <c r="AB27" s="101">
        <f>Z27+4</f>
        <v>4</v>
      </c>
      <c r="AC27" s="81" t="str">
        <f t="shared" si="12"/>
        <v>No</v>
      </c>
      <c r="AD27" s="100">
        <f t="shared" si="15"/>
        <v>0</v>
      </c>
      <c r="AE27" t="str">
        <f t="shared" si="16"/>
        <v>0-4</v>
      </c>
    </row>
    <row r="28" spans="1:31" ht="21" customHeight="1" thickBot="1">
      <c r="A28" s="33" t="s">
        <v>499</v>
      </c>
      <c r="B28" s="194"/>
      <c r="C28" s="29"/>
      <c r="D28" s="36" t="s">
        <v>27</v>
      </c>
      <c r="E28" s="29"/>
      <c r="F28" s="29"/>
      <c r="G28" s="189">
        <f t="shared" si="25"/>
        <v>0.1</v>
      </c>
      <c r="H28" s="189">
        <f t="shared" si="18"/>
        <v>0</v>
      </c>
      <c r="I28" s="190">
        <f t="shared" si="17"/>
        <v>0</v>
      </c>
      <c r="J28" s="554" t="str">
        <f>IF('Proj Info'!B51=" "," ",'Proj Info'!B51)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T28" s="82" t="s">
        <v>67</v>
      </c>
      <c r="U28" s="86">
        <f>U27-($U$25-$U$30)/5</f>
        <v>0</v>
      </c>
      <c r="V28" s="86">
        <f>V27-($V$25-$V$30)/5</f>
        <v>0</v>
      </c>
      <c r="W28" s="83">
        <f>'Grad 3'!I47</f>
        <v>0</v>
      </c>
      <c r="X28" s="84" t="str">
        <f t="shared" si="13"/>
        <v xml:space="preserve"> </v>
      </c>
      <c r="Y28" s="519" t="str">
        <f t="shared" si="14"/>
        <v xml:space="preserve"> </v>
      </c>
      <c r="Z28" s="83">
        <f>'Grad 1'!Z28</f>
        <v>0</v>
      </c>
      <c r="AA28" s="101">
        <f>IF((Z28-3)&gt;0,Z28-3,0)</f>
        <v>0</v>
      </c>
      <c r="AB28" s="101">
        <f>Z28+3</f>
        <v>3</v>
      </c>
      <c r="AC28" s="81" t="str">
        <f t="shared" si="12"/>
        <v>No</v>
      </c>
      <c r="AD28" s="100">
        <f t="shared" si="15"/>
        <v>0</v>
      </c>
      <c r="AE28" t="str">
        <f t="shared" si="16"/>
        <v>0-3</v>
      </c>
    </row>
    <row r="29" spans="1:31" ht="21" customHeight="1" thickBot="1">
      <c r="A29" s="33" t="s">
        <v>39</v>
      </c>
      <c r="B29" s="187"/>
      <c r="C29" s="29"/>
      <c r="D29" s="192">
        <f>IF(B29="",0,SUM(B22:B29))</f>
        <v>0</v>
      </c>
      <c r="E29" s="29"/>
      <c r="F29" s="29"/>
      <c r="G29" s="189">
        <f t="shared" si="25"/>
        <v>0.1</v>
      </c>
      <c r="H29" s="37"/>
      <c r="I29" s="37"/>
      <c r="J29" s="555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T29" s="82" t="s">
        <v>68</v>
      </c>
      <c r="U29" s="86">
        <f>U28-($U$25-$U$30)/5</f>
        <v>0</v>
      </c>
      <c r="V29" s="86">
        <f>V28-($V$25-$V$30)/5</f>
        <v>0</v>
      </c>
      <c r="W29" s="83">
        <f>'Grad 3'!I48</f>
        <v>0</v>
      </c>
      <c r="X29" s="84" t="str">
        <f t="shared" si="13"/>
        <v xml:space="preserve"> </v>
      </c>
      <c r="Y29" s="519" t="str">
        <f t="shared" si="14"/>
        <v xml:space="preserve"> </v>
      </c>
      <c r="Z29" s="83">
        <f>'Grad 1'!Z29</f>
        <v>0</v>
      </c>
      <c r="AA29" s="101">
        <f>IF((Z29-2)&gt;0,Z29-2,0)</f>
        <v>0</v>
      </c>
      <c r="AB29" s="101">
        <f>Z29+2</f>
        <v>2</v>
      </c>
      <c r="AC29" s="81" t="str">
        <f t="shared" si="12"/>
        <v>No</v>
      </c>
      <c r="AD29" s="100">
        <f t="shared" si="15"/>
        <v>0</v>
      </c>
      <c r="AE29" t="str">
        <f t="shared" si="16"/>
        <v>0-2</v>
      </c>
    </row>
    <row r="30" spans="1:31" ht="21" customHeight="1">
      <c r="A30" s="509" t="s">
        <v>500</v>
      </c>
      <c r="B30" s="195"/>
      <c r="C30" s="37" t="s">
        <v>37</v>
      </c>
      <c r="D30" s="29"/>
      <c r="E30" s="29"/>
      <c r="F30" s="29"/>
      <c r="G30" s="189">
        <f>SUM(G22:G29)</f>
        <v>0.79999999999999993</v>
      </c>
      <c r="H30" s="191"/>
      <c r="I30" s="191"/>
      <c r="J30" s="555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3'!$I$14</f>
        <v>0</v>
      </c>
      <c r="V30" s="83">
        <f>'Grad 3'!$I$31</f>
        <v>0</v>
      </c>
      <c r="W30" s="83">
        <f>'Grad 3'!I49</f>
        <v>0</v>
      </c>
      <c r="X30" s="84" t="str">
        <f t="shared" si="13"/>
        <v xml:space="preserve"> </v>
      </c>
      <c r="Y30" s="519" t="str">
        <f t="shared" si="14"/>
        <v xml:space="preserve"> </v>
      </c>
      <c r="Z30" s="83">
        <f>'Grad 1'!Z30</f>
        <v>2</v>
      </c>
      <c r="AA30" s="101">
        <v>0</v>
      </c>
      <c r="AB30" s="83">
        <f>Z30</f>
        <v>2</v>
      </c>
      <c r="AC30" s="81" t="str">
        <f t="shared" si="12"/>
        <v>No</v>
      </c>
      <c r="AD30" s="100">
        <f t="shared" si="15"/>
        <v>0</v>
      </c>
      <c r="AE30" t="str">
        <f t="shared" si="16"/>
        <v>0-2</v>
      </c>
    </row>
    <row r="31" spans="1:31" ht="21" customHeight="1" thickBot="1">
      <c r="A31" s="510" t="s">
        <v>501</v>
      </c>
      <c r="B31" s="196"/>
      <c r="C31" s="37" t="s">
        <v>38</v>
      </c>
      <c r="D31" s="29"/>
      <c r="E31" s="29"/>
      <c r="F31" s="29"/>
      <c r="G31" s="191"/>
      <c r="H31" s="38" t="s">
        <v>17</v>
      </c>
      <c r="I31" s="188">
        <f>ROUND(IF(B34=0,0,SUM(B34/B30)*100),1)</f>
        <v>0</v>
      </c>
      <c r="J31" s="554" t="str">
        <f>IF('Proj Info'!B52=" "," ",'Proj Info'!B52)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7"/>
      <c r="U31" s="91"/>
      <c r="V31" s="91"/>
      <c r="W31" s="91"/>
      <c r="X31" s="89"/>
      <c r="Y31" s="89"/>
      <c r="Z31" s="95"/>
      <c r="AA31" s="91"/>
      <c r="AB31" s="91"/>
      <c r="AC31" s="76"/>
      <c r="AD31" s="100">
        <f>+SUM(AD19:AD30)</f>
        <v>0</v>
      </c>
      <c r="AE31" t="str">
        <f>IF(AD31=12,"Y","N")</f>
        <v>N</v>
      </c>
    </row>
    <row r="32" spans="1:31" ht="21" customHeight="1" thickTop="1">
      <c r="A32" s="33" t="s">
        <v>39</v>
      </c>
      <c r="B32" s="187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129</v>
      </c>
      <c r="Y32" s="166" t="str">
        <f>IF(B4="","",((100-Y19)+(Y19-Y20)+(Y20-Y21)+(Y21-Y22)+(Y22-Y23))/((100-Y19)+(Y19-Y20)+(Y20-Y21)+(Y21-Y22)+(Y22-Y23)+(Y23-Y24)+(Y24-Y25))*100)</f>
        <v/>
      </c>
    </row>
    <row r="33" spans="1:25" ht="21" customHeight="1">
      <c r="A33" s="33" t="s">
        <v>41</v>
      </c>
      <c r="B33" s="188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130</v>
      </c>
      <c r="Y33" s="166" t="str">
        <f>IF(Y25="","",Y25)</f>
        <v xml:space="preserve"> </v>
      </c>
    </row>
    <row r="34" spans="1:25" ht="21" customHeight="1">
      <c r="A34" s="33" t="s">
        <v>43</v>
      </c>
      <c r="B34" s="197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502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512" t="s">
        <v>503</v>
      </c>
      <c r="B38" s="211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513" t="s">
        <v>504</v>
      </c>
      <c r="B39" s="187"/>
      <c r="C39" s="569" t="s">
        <v>45</v>
      </c>
      <c r="D39" s="570"/>
      <c r="E39" s="185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513" t="s">
        <v>505</v>
      </c>
      <c r="B40" s="187"/>
      <c r="C40" s="29"/>
      <c r="D40" s="574" t="str">
        <f>IF(E39&lt;5,"",IF(E39&lt;99.5,"Check Weights.",IF(E39&gt;100.5,"Check Weights","")))</f>
        <v/>
      </c>
      <c r="E40" s="575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33" t="s">
        <v>496</v>
      </c>
      <c r="B41" s="187"/>
      <c r="C41" s="29"/>
      <c r="D41" s="34"/>
      <c r="E41" s="35"/>
      <c r="F41" s="35"/>
      <c r="G41" s="188">
        <f>IF($M$52=100,$M41,IF($N$52=100,$N41,IF($O$52=100,$O41,IF($P$52=100,$P41,IF($Q$52=100,$Q41,IF($R$52=100,$R41,$R41))))))</f>
        <v>0.1</v>
      </c>
      <c r="H41" s="188">
        <f>IF(D51=0,0,100-G41)</f>
        <v>0</v>
      </c>
      <c r="I41" s="198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</row>
    <row r="42" spans="1:25" ht="21" customHeight="1">
      <c r="A42" s="33" t="s">
        <v>497</v>
      </c>
      <c r="B42" s="187"/>
      <c r="C42" s="29"/>
      <c r="D42" s="29"/>
      <c r="E42" s="29"/>
      <c r="F42" s="29"/>
      <c r="G42" s="188">
        <f t="shared" ref="G42:G47" si="27">IF($M$52=100,$M42,IF($N$52=100,$N42,IF($O$52=100,$O42,IF($P$52=100,$P42,IF($Q$52=100,$Q42,IF($R$52=100,$R42,$R42))))))</f>
        <v>0.1</v>
      </c>
      <c r="H42" s="188">
        <f t="shared" ref="H42:H49" si="28">IF(H41=0,0,(H41-G42))</f>
        <v>0</v>
      </c>
      <c r="I42" s="198">
        <f t="shared" ref="I42:I49" si="29">IF(H42&gt;9.9,ROUND(H42,0),ROUND(H42,1))</f>
        <v>0</v>
      </c>
      <c r="J42" s="13" t="str">
        <f>IF('Proj Info'!B53=" "," ",'Proj Info'!B53)</f>
        <v/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</row>
    <row r="43" spans="1:25" ht="21" customHeight="1">
      <c r="A43" s="33" t="s">
        <v>498</v>
      </c>
      <c r="B43" s="187"/>
      <c r="C43" s="29"/>
      <c r="D43" s="29"/>
      <c r="E43" s="29"/>
      <c r="F43" s="29"/>
      <c r="G43" s="188">
        <f t="shared" si="27"/>
        <v>0.1</v>
      </c>
      <c r="H43" s="188">
        <f t="shared" si="28"/>
        <v>0</v>
      </c>
      <c r="I43" s="198">
        <f t="shared" si="29"/>
        <v>0</v>
      </c>
      <c r="J43" s="13" t="str">
        <f>IF('Proj Info'!B54=" "," ",'Proj Info'!B54)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</row>
    <row r="44" spans="1:25" ht="21" customHeight="1">
      <c r="A44" s="33" t="s">
        <v>499</v>
      </c>
      <c r="B44" s="187"/>
      <c r="C44" s="29"/>
      <c r="D44" s="29"/>
      <c r="E44" s="29"/>
      <c r="F44" s="29"/>
      <c r="G44" s="188">
        <f t="shared" si="27"/>
        <v>0.1</v>
      </c>
      <c r="H44" s="188">
        <f t="shared" si="28"/>
        <v>0</v>
      </c>
      <c r="I44" s="198">
        <f t="shared" si="29"/>
        <v>0</v>
      </c>
      <c r="J44" s="13" t="str">
        <f>IF('Proj Info'!B55=" "," ",'Proj Info'!B55)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25" ht="21" customHeight="1">
      <c r="A45" s="33" t="s">
        <v>506</v>
      </c>
      <c r="B45" s="187"/>
      <c r="C45" s="29"/>
      <c r="D45" s="29"/>
      <c r="E45" s="29"/>
      <c r="F45" s="29"/>
      <c r="G45" s="188">
        <f t="shared" si="27"/>
        <v>0.1</v>
      </c>
      <c r="H45" s="188">
        <f t="shared" si="28"/>
        <v>0</v>
      </c>
      <c r="I45" s="198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25" ht="21" customHeight="1">
      <c r="A46" s="33" t="s">
        <v>507</v>
      </c>
      <c r="B46" s="187"/>
      <c r="C46" s="29"/>
      <c r="D46" s="29"/>
      <c r="E46" s="29"/>
      <c r="F46" s="29"/>
      <c r="G46" s="188">
        <f t="shared" si="27"/>
        <v>0.1</v>
      </c>
      <c r="H46" s="188">
        <f t="shared" si="28"/>
        <v>0</v>
      </c>
      <c r="I46" s="198">
        <f t="shared" si="29"/>
        <v>0</v>
      </c>
      <c r="J46" s="13" t="str">
        <f>IF('Proj Info'!B56=" "," ",'Proj Info'!B56)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25" ht="21" customHeight="1">
      <c r="A47" s="33" t="s">
        <v>508</v>
      </c>
      <c r="B47" s="187"/>
      <c r="C47" s="29"/>
      <c r="D47" s="29"/>
      <c r="E47" s="29"/>
      <c r="F47" s="29"/>
      <c r="G47" s="188">
        <f t="shared" si="27"/>
        <v>0.1</v>
      </c>
      <c r="H47" s="188">
        <f t="shared" si="28"/>
        <v>0</v>
      </c>
      <c r="I47" s="198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25" ht="21" customHeight="1">
      <c r="A48" s="33" t="s">
        <v>509</v>
      </c>
      <c r="B48" s="187"/>
      <c r="C48" s="29"/>
      <c r="D48" s="29"/>
      <c r="E48" s="29"/>
      <c r="F48" s="29"/>
      <c r="G48" s="188">
        <f>IF($M$52=100,$M48,IF($N$52=100,$N48,IF($O$52=100,$O48,IF($P$52=100,$P48,IF($Q$52=100,$Q48,IF($R$52=100,$R48,$R48))))))</f>
        <v>0.1</v>
      </c>
      <c r="H48" s="188">
        <f t="shared" si="28"/>
        <v>0</v>
      </c>
      <c r="I48" s="198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510</v>
      </c>
      <c r="B49" s="187"/>
      <c r="C49" s="29"/>
      <c r="D49" s="29"/>
      <c r="E49" s="29"/>
      <c r="F49" s="29"/>
      <c r="G49" s="188">
        <f>IF($M$52=100,$M49,IF($N$52=100,$N49,IF($O$52=100,$O49,IF($P$52=100,$P49,IF($Q$52=100,$Q49,IF($R$52=100,$R49,$R49))))))</f>
        <v>0.1</v>
      </c>
      <c r="H49" s="188">
        <f t="shared" si="28"/>
        <v>0</v>
      </c>
      <c r="I49" s="198">
        <f t="shared" si="29"/>
        <v>0</v>
      </c>
      <c r="J49" s="13" t="str">
        <f>IF('Proj Info'!B57=" "," ",'Proj Info'!B57)</f>
        <v/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87"/>
      <c r="C50" s="29"/>
      <c r="D50" s="36" t="s">
        <v>27</v>
      </c>
      <c r="E50" s="29"/>
      <c r="F50" s="29"/>
      <c r="G50" s="188">
        <f>IF($M$52=100,$M50,IF($N$52=100,$N50,IF($O$52=100,$O50,IF($P$52=100,$P50,IF($Q$52=100,$Q50,IF($R$52=100,$R50,$R50))))))</f>
        <v>0.1</v>
      </c>
      <c r="H50" s="184"/>
      <c r="I50" s="184"/>
      <c r="J50" s="184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8">
        <f>IF(B40="",0,SUM(B39-B40))</f>
        <v>0</v>
      </c>
      <c r="C51" s="29"/>
      <c r="D51" s="186">
        <f>IF(B50="",0,SUM(B41:B51))</f>
        <v>0</v>
      </c>
      <c r="E51" s="29"/>
      <c r="F51" s="29"/>
      <c r="G51" s="188">
        <f>IF(G50="",0,SUM(G41:G50))</f>
        <v>0.99999999999999989</v>
      </c>
      <c r="H51" s="184"/>
      <c r="I51" s="184"/>
      <c r="J51" s="184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/hgcBpymTdINgxrRb58pRghbglBDv41h8CTi4eFSLorkXWKk4eBnPxeq/VPiZz+gDdACYSsOtNRTip1S0bjMqg==" saltValue="Nrl2qk2v1ipdqMp5K1DE2w==" spinCount="100000" sheet="1" objects="1" scenarios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AE52"/>
  <sheetViews>
    <sheetView defaultGridColor="0" view="pageBreakPreview" topLeftCell="A10" colorId="22" zoomScale="75" zoomScaleNormal="60" workbookViewId="0">
      <pane xSplit="1" topLeftCell="B1" activePane="topRight" state="frozen"/>
      <selection pane="topRight" activeCell="J22" sqref="J22:J31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364</v>
      </c>
      <c r="B1" s="515"/>
    </row>
    <row r="2" spans="1:29" ht="21" customHeight="1">
      <c r="A2" s="44" t="s">
        <v>145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09" t="s">
        <v>144</v>
      </c>
      <c r="B4" s="193"/>
      <c r="C4" s="569" t="s">
        <v>31</v>
      </c>
      <c r="D4" s="573"/>
      <c r="E4" s="185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133</v>
      </c>
      <c r="U4" s="45"/>
      <c r="V4" s="45"/>
      <c r="W4" s="45"/>
      <c r="Y4" s="48" t="s">
        <v>73</v>
      </c>
      <c r="Z4" s="45"/>
    </row>
    <row r="5" spans="1:29" ht="21" customHeight="1" thickTop="1">
      <c r="A5" s="33" t="s">
        <v>493</v>
      </c>
      <c r="B5" s="194"/>
      <c r="C5" s="29"/>
      <c r="D5" s="574" t="str">
        <f>IF(E4&lt;5,"",IF(E4&lt;99.5,"Check Weights.",IF(E4&gt;100.5,"Check Weights","")))</f>
        <v/>
      </c>
      <c r="E5" s="575"/>
      <c r="F5" s="29"/>
      <c r="G5" s="189">
        <f t="shared" ref="G5:G12" si="0">IF($M$14=100,$M5,IF($N$14=100,$N5,IF($O$14=100,$O5,IF($P$14=100,$P5,IF($Q$14=100,$Q5,IF($R$14=100,$R5,$R5))))))</f>
        <v>0.1</v>
      </c>
      <c r="H5" s="189">
        <f>IF(D12=0,0,100)</f>
        <v>0</v>
      </c>
      <c r="I5" s="190">
        <f t="shared" ref="I5:I11" si="1">IF(H5&gt;9.9,ROUND(H5,0),ROUND(H5,1))</f>
        <v>0</v>
      </c>
      <c r="J5" s="13" t="str">
        <f>IF('Proj Info'!B39=" "," ",'Proj Info'!B39)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74</v>
      </c>
      <c r="U5" s="50"/>
      <c r="V5" s="50"/>
      <c r="W5" s="51"/>
      <c r="X5" s="52"/>
      <c r="Y5" s="52">
        <f>'QMC Mix'!D25</f>
        <v>0</v>
      </c>
      <c r="Z5" s="53" t="e">
        <f>Y5/(SUM($Y$5:$Y$7))</f>
        <v>#DIV/0!</v>
      </c>
    </row>
    <row r="6" spans="1:29" ht="21" customHeight="1">
      <c r="A6" s="33" t="s">
        <v>494</v>
      </c>
      <c r="B6" s="194"/>
      <c r="C6" s="29"/>
      <c r="D6" s="31"/>
      <c r="E6" s="29"/>
      <c r="F6" s="29"/>
      <c r="G6" s="189">
        <f t="shared" si="0"/>
        <v>0.1</v>
      </c>
      <c r="H6" s="189">
        <f t="shared" ref="H6:H11" si="8">IF(H5=0,0,(H5-G6))</f>
        <v>0</v>
      </c>
      <c r="I6" s="190">
        <f t="shared" si="1"/>
        <v>0</v>
      </c>
      <c r="J6" s="13" t="str">
        <f>IF('Proj Info'!B40=" "," ",'Proj Info'!B40)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75</v>
      </c>
      <c r="U6" s="55"/>
      <c r="V6" s="55"/>
      <c r="W6" s="56"/>
      <c r="X6" s="57"/>
      <c r="Y6" s="58">
        <f>'QMC Mix'!D26</f>
        <v>0</v>
      </c>
      <c r="Z6" s="59" t="e">
        <f>Y6/(SUM($Y$5:$Y$7))</f>
        <v>#DIV/0!</v>
      </c>
    </row>
    <row r="7" spans="1:29" ht="21" customHeight="1" thickBot="1">
      <c r="A7" s="33" t="s">
        <v>495</v>
      </c>
      <c r="B7" s="194"/>
      <c r="C7" s="29"/>
      <c r="D7" s="29"/>
      <c r="E7" s="29"/>
      <c r="F7" s="29"/>
      <c r="G7" s="189">
        <f t="shared" si="0"/>
        <v>0.1</v>
      </c>
      <c r="H7" s="189">
        <f t="shared" si="8"/>
        <v>0</v>
      </c>
      <c r="I7" s="190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76</v>
      </c>
      <c r="U7" s="61"/>
      <c r="V7" s="61"/>
      <c r="W7" s="62"/>
      <c r="X7" s="63"/>
      <c r="Y7" s="64">
        <f>'QMC Mix'!D27</f>
        <v>0</v>
      </c>
      <c r="Z7" s="65" t="e">
        <f>Y7/(SUM($Y$5:Y$7))</f>
        <v>#DIV/0!</v>
      </c>
    </row>
    <row r="8" spans="1:29" ht="21" customHeight="1" thickTop="1">
      <c r="A8" s="33" t="s">
        <v>496</v>
      </c>
      <c r="B8" s="194"/>
      <c r="C8" s="29"/>
      <c r="D8" s="29"/>
      <c r="E8" s="29"/>
      <c r="F8" s="29"/>
      <c r="G8" s="189">
        <f t="shared" si="0"/>
        <v>0.1</v>
      </c>
      <c r="H8" s="189">
        <f t="shared" si="8"/>
        <v>0</v>
      </c>
      <c r="I8" s="190">
        <f t="shared" si="1"/>
        <v>0</v>
      </c>
      <c r="J8" s="13" t="str">
        <f>IF('Proj Info'!B42=" "," ",'Proj Info'!B42)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497</v>
      </c>
      <c r="B9" s="194"/>
      <c r="C9" s="29"/>
      <c r="D9" s="29"/>
      <c r="E9" s="29"/>
      <c r="F9" s="29"/>
      <c r="G9" s="189">
        <f t="shared" si="0"/>
        <v>0.1</v>
      </c>
      <c r="H9" s="189">
        <f t="shared" si="8"/>
        <v>0</v>
      </c>
      <c r="I9" s="190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498</v>
      </c>
      <c r="B10" s="194"/>
      <c r="C10" s="29"/>
      <c r="D10" s="29"/>
      <c r="E10" s="29"/>
      <c r="F10" s="29"/>
      <c r="G10" s="189">
        <f t="shared" si="0"/>
        <v>0.1</v>
      </c>
      <c r="H10" s="189">
        <f t="shared" si="8"/>
        <v>0</v>
      </c>
      <c r="I10" s="190">
        <f t="shared" si="1"/>
        <v>0</v>
      </c>
      <c r="J10" s="13" t="str">
        <f>IF('Proj Info'!B44=" "," ",'Proj Info'!B44)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499</v>
      </c>
      <c r="B11" s="194"/>
      <c r="C11" s="29"/>
      <c r="D11" s="36" t="s">
        <v>27</v>
      </c>
      <c r="E11" s="29"/>
      <c r="F11" s="29"/>
      <c r="G11" s="189">
        <f t="shared" si="0"/>
        <v>0.1</v>
      </c>
      <c r="H11" s="189">
        <f t="shared" si="8"/>
        <v>0</v>
      </c>
      <c r="I11" s="190">
        <f t="shared" si="1"/>
        <v>0</v>
      </c>
      <c r="J11" s="13" t="str">
        <f>IF('Proj Info'!B45=" "," ",'Proj Info'!B45)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39</v>
      </c>
      <c r="B12" s="187"/>
      <c r="C12" s="29"/>
      <c r="D12" s="192">
        <f>IF(B12="",0,SUM(B5:B12))</f>
        <v>0</v>
      </c>
      <c r="E12" s="29"/>
      <c r="F12" s="29"/>
      <c r="G12" s="189">
        <f t="shared" si="0"/>
        <v>0.1</v>
      </c>
      <c r="H12" s="37"/>
      <c r="I12" s="37"/>
      <c r="J12" s="210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127</v>
      </c>
      <c r="U12" s="45"/>
      <c r="V12" s="45"/>
      <c r="W12" s="45"/>
      <c r="X12" s="48"/>
      <c r="Y12" s="48"/>
      <c r="Z12" s="45"/>
      <c r="AA12" s="92"/>
      <c r="AB12" s="92"/>
      <c r="AC12" s="93"/>
    </row>
    <row r="13" spans="1:29" ht="21" customHeight="1" thickBot="1">
      <c r="A13" s="509" t="s">
        <v>500</v>
      </c>
      <c r="B13" s="195"/>
      <c r="C13" s="37" t="s">
        <v>37</v>
      </c>
      <c r="D13" s="29"/>
      <c r="E13" s="29"/>
      <c r="F13" s="29"/>
      <c r="G13" s="189">
        <f>SUM(G5:G12)</f>
        <v>0.79999999999999993</v>
      </c>
      <c r="H13" s="191"/>
      <c r="I13" s="191"/>
      <c r="J13" s="210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4"/>
      <c r="Y13" s="94"/>
      <c r="Z13" s="66"/>
      <c r="AA13" s="66"/>
      <c r="AB13" s="66"/>
      <c r="AC13" s="2"/>
    </row>
    <row r="14" spans="1:29" ht="21" customHeight="1" thickTop="1">
      <c r="A14" s="510" t="s">
        <v>501</v>
      </c>
      <c r="B14" s="196"/>
      <c r="C14" s="37" t="s">
        <v>38</v>
      </c>
      <c r="D14" s="29"/>
      <c r="E14" s="29"/>
      <c r="F14" s="29"/>
      <c r="G14" s="191"/>
      <c r="H14" s="38" t="s">
        <v>17</v>
      </c>
      <c r="I14" s="188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77</v>
      </c>
      <c r="Z14" s="68" t="s">
        <v>78</v>
      </c>
      <c r="AA14" s="68" t="s">
        <v>78</v>
      </c>
      <c r="AB14" s="68" t="s">
        <v>78</v>
      </c>
      <c r="AC14" s="69"/>
    </row>
    <row r="15" spans="1:29" ht="21" customHeight="1">
      <c r="A15" s="33" t="s">
        <v>39</v>
      </c>
      <c r="B15" s="187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79</v>
      </c>
      <c r="U15" s="71" t="s">
        <v>16</v>
      </c>
      <c r="V15" s="71" t="s">
        <v>16</v>
      </c>
      <c r="W15" s="71" t="s">
        <v>16</v>
      </c>
      <c r="X15" s="71"/>
      <c r="Y15" s="71" t="s">
        <v>80</v>
      </c>
      <c r="Z15" s="71" t="s">
        <v>81</v>
      </c>
      <c r="AA15" s="71" t="s">
        <v>82</v>
      </c>
      <c r="AB15" s="71" t="s">
        <v>83</v>
      </c>
      <c r="AC15" s="72" t="s">
        <v>84</v>
      </c>
    </row>
    <row r="16" spans="1:29" ht="21" customHeight="1">
      <c r="A16" s="33" t="s">
        <v>41</v>
      </c>
      <c r="B16" s="188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85</v>
      </c>
      <c r="U16" s="71" t="s">
        <v>71</v>
      </c>
      <c r="V16" s="71" t="s">
        <v>71</v>
      </c>
      <c r="W16" s="71" t="s">
        <v>71</v>
      </c>
      <c r="X16" s="71"/>
      <c r="Y16" s="71" t="s">
        <v>86</v>
      </c>
      <c r="Z16" s="71" t="s">
        <v>86</v>
      </c>
      <c r="AA16" s="71" t="s">
        <v>86</v>
      </c>
      <c r="AB16" s="71" t="s">
        <v>86</v>
      </c>
      <c r="AC16" s="73" t="s">
        <v>81</v>
      </c>
    </row>
    <row r="17" spans="1:31" ht="21" customHeight="1" thickBot="1">
      <c r="A17" s="33" t="s">
        <v>43</v>
      </c>
      <c r="B17" s="197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87</v>
      </c>
      <c r="V17" s="75" t="s">
        <v>87</v>
      </c>
      <c r="W17" s="75" t="s">
        <v>87</v>
      </c>
      <c r="X17" s="75"/>
      <c r="Y17" s="75" t="s">
        <v>87</v>
      </c>
      <c r="Z17" s="75" t="s">
        <v>87</v>
      </c>
      <c r="AA17" s="75" t="s">
        <v>87</v>
      </c>
      <c r="AB17" s="75" t="s">
        <v>87</v>
      </c>
      <c r="AC17" s="76"/>
    </row>
    <row r="18" spans="1:31" ht="21" customHeight="1" thickTop="1">
      <c r="A18" s="33" t="s">
        <v>502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88</v>
      </c>
      <c r="U19" s="83">
        <f>'Grad 4'!I5</f>
        <v>0</v>
      </c>
      <c r="V19" s="83">
        <f>'Grad 4'!I22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519" t="str">
        <f>X19</f>
        <v xml:space="preserve"> </v>
      </c>
      <c r="Z19" s="83">
        <f>'Grad 1'!Z19</f>
        <v>100</v>
      </c>
      <c r="AA19" s="101">
        <f t="shared" ref="AA19:AA24" si="10">IF((Z19-5)&gt;0,Z19-5,0)</f>
        <v>95</v>
      </c>
      <c r="AB19" s="101">
        <f t="shared" ref="AB19:AB24" si="11">IF(Z19+5&gt;100,100,Z19+5)</f>
        <v>100</v>
      </c>
      <c r="AC19" s="81" t="str">
        <f t="shared" ref="AC19:AC30" si="12">IF(AND(AA19&lt;=X19,X19&lt;=AB19),"Yes","No")</f>
        <v>No</v>
      </c>
      <c r="AD19" s="100">
        <f>IF(AC19="YES",1,0)</f>
        <v>0</v>
      </c>
      <c r="AE19" t="str">
        <f>CONCATENATE(AA19,"-",AB19)</f>
        <v>95-100</v>
      </c>
    </row>
    <row r="20" spans="1:31" ht="21" customHeight="1">
      <c r="A20" s="25" t="s">
        <v>503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59</v>
      </c>
      <c r="U20" s="83">
        <f>'Grad 4'!I6</f>
        <v>0</v>
      </c>
      <c r="V20" s="83">
        <f>'Grad 4'!I23</f>
        <v>0</v>
      </c>
      <c r="W20" s="83">
        <v>100</v>
      </c>
      <c r="X20" s="84" t="str">
        <f t="shared" ref="X20:X30" si="13">IF($B$4=0," ",IF($B$20=" ",U20*$Z$5+W20*$Z$7,U20*$Z$5+V20*$Z$6+W20*Z$7))</f>
        <v xml:space="preserve"> </v>
      </c>
      <c r="Y20" s="519" t="str">
        <f t="shared" ref="Y20:Y30" si="14">X20</f>
        <v xml:space="preserve"> </v>
      </c>
      <c r="Z20" s="83">
        <f>'Grad 1'!Z20</f>
        <v>0</v>
      </c>
      <c r="AA20" s="101">
        <f t="shared" si="10"/>
        <v>0</v>
      </c>
      <c r="AB20" s="101">
        <f t="shared" si="11"/>
        <v>5</v>
      </c>
      <c r="AC20" s="81" t="str">
        <f t="shared" si="12"/>
        <v>No</v>
      </c>
      <c r="AD20" s="100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511" t="s">
        <v>500</v>
      </c>
      <c r="B21" s="193"/>
      <c r="C21" s="569" t="s">
        <v>31</v>
      </c>
      <c r="D21" s="573"/>
      <c r="E21" s="185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60</v>
      </c>
      <c r="U21" s="83">
        <f>'Grad 4'!I7</f>
        <v>0</v>
      </c>
      <c r="V21" s="83">
        <f>'Grad 4'!I24</f>
        <v>0</v>
      </c>
      <c r="W21" s="83">
        <v>100</v>
      </c>
      <c r="X21" s="84" t="str">
        <f t="shared" si="13"/>
        <v xml:space="preserve"> </v>
      </c>
      <c r="Y21" s="519" t="str">
        <f t="shared" si="14"/>
        <v xml:space="preserve"> </v>
      </c>
      <c r="Z21" s="83">
        <f>'Grad 1'!Z21</f>
        <v>0</v>
      </c>
      <c r="AA21" s="101">
        <f t="shared" si="10"/>
        <v>0</v>
      </c>
      <c r="AB21" s="101">
        <f t="shared" si="11"/>
        <v>5</v>
      </c>
      <c r="AC21" s="81" t="str">
        <f t="shared" si="12"/>
        <v>No</v>
      </c>
      <c r="AD21" s="100">
        <f t="shared" si="15"/>
        <v>0</v>
      </c>
      <c r="AE21" t="str">
        <f t="shared" si="16"/>
        <v>0-5</v>
      </c>
    </row>
    <row r="22" spans="1:31" ht="21" customHeight="1">
      <c r="A22" s="33" t="s">
        <v>493</v>
      </c>
      <c r="B22" s="194"/>
      <c r="C22" s="29"/>
      <c r="D22" s="574" t="str">
        <f>IF(E21&lt;5,"",IF(E21&lt;99.5,"Check Weights.",IF(E21&gt;100.5,"Check Weights","")))</f>
        <v/>
      </c>
      <c r="E22" s="575"/>
      <c r="F22" s="29"/>
      <c r="G22" s="189">
        <f>IF($M$22=100,$M22,IF($N$22=100,$N22,IF($O$22=100,$O22,IF($P$22=100,$P22,IF($Q$22=100,$Q22,IF($R$22=100,$R22,$R22))))))</f>
        <v>0.1</v>
      </c>
      <c r="H22" s="189">
        <f>IF(D29=0,0,100)</f>
        <v>0</v>
      </c>
      <c r="I22" s="190">
        <f t="shared" ref="I22:I28" si="17">IF(H22&gt;9.9,ROUND(H22,0),ROUND(H22,1))</f>
        <v>0</v>
      </c>
      <c r="J22" s="199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T22" s="82" t="s">
        <v>61</v>
      </c>
      <c r="U22" s="83">
        <f>'Grad 4'!I8</f>
        <v>0</v>
      </c>
      <c r="V22" s="83">
        <f>'Grad 4'!I25</f>
        <v>0</v>
      </c>
      <c r="W22" s="83">
        <f>'Grad 4'!I41</f>
        <v>0</v>
      </c>
      <c r="X22" s="84" t="str">
        <f t="shared" si="13"/>
        <v xml:space="preserve"> </v>
      </c>
      <c r="Y22" s="519" t="str">
        <f t="shared" si="14"/>
        <v xml:space="preserve"> </v>
      </c>
      <c r="Z22" s="83">
        <f>'Grad 1'!Z22</f>
        <v>0</v>
      </c>
      <c r="AA22" s="101">
        <f t="shared" si="10"/>
        <v>0</v>
      </c>
      <c r="AB22" s="101">
        <f t="shared" si="11"/>
        <v>5</v>
      </c>
      <c r="AC22" s="81" t="str">
        <f t="shared" si="12"/>
        <v>No</v>
      </c>
      <c r="AD22" s="100">
        <f t="shared" si="15"/>
        <v>0</v>
      </c>
      <c r="AE22" t="str">
        <f t="shared" si="16"/>
        <v>0-5</v>
      </c>
    </row>
    <row r="23" spans="1:31" ht="21" customHeight="1">
      <c r="A23" s="33" t="s">
        <v>494</v>
      </c>
      <c r="B23" s="194"/>
      <c r="C23" s="29"/>
      <c r="D23" s="31"/>
      <c r="E23" s="29"/>
      <c r="F23" s="29"/>
      <c r="G23" s="189">
        <f>IF($M$23=100,$M23,IF($N$23=100,$N23,IF($O$23=100,$O23,IF($P$23=100,$P23,IF($Q$23=100,$Q23,IF($R$23=100,$R23,$R23))))))</f>
        <v>0.1</v>
      </c>
      <c r="H23" s="189">
        <f t="shared" ref="H23:H28" si="24">IF(H22=0,0,(H22-G23))</f>
        <v>0</v>
      </c>
      <c r="I23" s="190">
        <f t="shared" si="17"/>
        <v>0</v>
      </c>
      <c r="J23" s="199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T23" s="82" t="s">
        <v>62</v>
      </c>
      <c r="U23" s="83">
        <f>'Grad 4'!I9</f>
        <v>0</v>
      </c>
      <c r="V23" s="83">
        <f>'Grad 4'!I26</f>
        <v>0</v>
      </c>
      <c r="W23" s="83">
        <f>'Grad 4'!I42</f>
        <v>0</v>
      </c>
      <c r="X23" s="84" t="str">
        <f t="shared" si="13"/>
        <v xml:space="preserve"> </v>
      </c>
      <c r="Y23" s="519" t="str">
        <f t="shared" si="14"/>
        <v xml:space="preserve"> </v>
      </c>
      <c r="Z23" s="83">
        <f>'Grad 1'!Z23</f>
        <v>0</v>
      </c>
      <c r="AA23" s="101">
        <f t="shared" si="10"/>
        <v>0</v>
      </c>
      <c r="AB23" s="101">
        <f t="shared" si="11"/>
        <v>5</v>
      </c>
      <c r="AC23" s="81" t="str">
        <f t="shared" si="12"/>
        <v>No</v>
      </c>
      <c r="AD23" s="100">
        <f t="shared" si="15"/>
        <v>0</v>
      </c>
      <c r="AE23" t="str">
        <f t="shared" si="16"/>
        <v>0-5</v>
      </c>
    </row>
    <row r="24" spans="1:31" ht="21" customHeight="1">
      <c r="A24" s="33" t="s">
        <v>495</v>
      </c>
      <c r="B24" s="194"/>
      <c r="C24" s="29"/>
      <c r="D24" s="29"/>
      <c r="E24" s="29"/>
      <c r="F24" s="29"/>
      <c r="G24" s="189">
        <f t="shared" ref="G24:G29" si="25">IF($M$14=100,$M24,IF($N$14=100,$N24,IF($O$14=100,$O24,IF($P$14=100,$P24,IF($Q$14=100,$Q24,IF($R$14=100,$R24,$R24))))))</f>
        <v>0.1</v>
      </c>
      <c r="H24" s="189">
        <f t="shared" si="24"/>
        <v>0</v>
      </c>
      <c r="I24" s="190">
        <f t="shared" si="17"/>
        <v>0</v>
      </c>
      <c r="J24" s="55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63</v>
      </c>
      <c r="U24" s="83">
        <f>'Grad 4'!I10</f>
        <v>0</v>
      </c>
      <c r="V24" s="83">
        <f>'Grad 4'!I27</f>
        <v>0</v>
      </c>
      <c r="W24" s="83">
        <f>'Grad 4'!I43</f>
        <v>0</v>
      </c>
      <c r="X24" s="84" t="str">
        <f t="shared" si="13"/>
        <v xml:space="preserve"> </v>
      </c>
      <c r="Y24" s="519" t="str">
        <f t="shared" si="14"/>
        <v xml:space="preserve"> </v>
      </c>
      <c r="Z24" s="83">
        <f>'Grad 1'!Z24</f>
        <v>0</v>
      </c>
      <c r="AA24" s="101">
        <f t="shared" si="10"/>
        <v>0</v>
      </c>
      <c r="AB24" s="101">
        <f t="shared" si="11"/>
        <v>5</v>
      </c>
      <c r="AC24" s="81" t="str">
        <f t="shared" si="12"/>
        <v>No</v>
      </c>
      <c r="AD24" s="100">
        <f t="shared" si="15"/>
        <v>0</v>
      </c>
      <c r="AE24" t="str">
        <f t="shared" si="16"/>
        <v>0-5</v>
      </c>
    </row>
    <row r="25" spans="1:31" ht="21" customHeight="1">
      <c r="A25" s="33" t="s">
        <v>496</v>
      </c>
      <c r="B25" s="194"/>
      <c r="C25" s="29"/>
      <c r="D25" s="29"/>
      <c r="E25" s="29"/>
      <c r="F25" s="29"/>
      <c r="G25" s="189">
        <f t="shared" si="25"/>
        <v>0.1</v>
      </c>
      <c r="H25" s="189">
        <f t="shared" si="24"/>
        <v>0</v>
      </c>
      <c r="I25" s="190">
        <f t="shared" si="17"/>
        <v>0</v>
      </c>
      <c r="J25" s="55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64</v>
      </c>
      <c r="U25" s="83">
        <f>'Grad 4'!I11</f>
        <v>0</v>
      </c>
      <c r="V25" s="83">
        <f>'Grad 4'!I28</f>
        <v>0</v>
      </c>
      <c r="W25" s="83">
        <f>'Grad 4'!I44</f>
        <v>0</v>
      </c>
      <c r="X25" s="84" t="str">
        <f t="shared" si="13"/>
        <v xml:space="preserve"> </v>
      </c>
      <c r="Y25" s="519" t="str">
        <f t="shared" si="14"/>
        <v xml:space="preserve"> </v>
      </c>
      <c r="Z25" s="83">
        <f>'Grad 1'!Z25</f>
        <v>0</v>
      </c>
      <c r="AA25" s="101">
        <f>IF((Z25-4)&gt;0,Z25-4,0)</f>
        <v>0</v>
      </c>
      <c r="AB25" s="101">
        <f>Z25+4</f>
        <v>4</v>
      </c>
      <c r="AC25" s="81" t="str">
        <f t="shared" si="12"/>
        <v>No</v>
      </c>
      <c r="AD25" s="100">
        <f t="shared" si="15"/>
        <v>0</v>
      </c>
      <c r="AE25" t="str">
        <f t="shared" si="16"/>
        <v>0-4</v>
      </c>
    </row>
    <row r="26" spans="1:31" ht="21" customHeight="1">
      <c r="A26" s="33" t="s">
        <v>497</v>
      </c>
      <c r="B26" s="194"/>
      <c r="C26" s="29"/>
      <c r="D26" s="29"/>
      <c r="E26" s="29"/>
      <c r="F26" s="29"/>
      <c r="G26" s="189">
        <f t="shared" si="25"/>
        <v>0.1</v>
      </c>
      <c r="H26" s="189">
        <f t="shared" si="24"/>
        <v>0</v>
      </c>
      <c r="I26" s="190">
        <f t="shared" si="17"/>
        <v>0</v>
      </c>
      <c r="J26" s="55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65</v>
      </c>
      <c r="U26" s="86">
        <f>U25-($U$25-$U$30)/5</f>
        <v>0</v>
      </c>
      <c r="V26" s="86">
        <f>V25-($V$25-$V$30)/5</f>
        <v>0</v>
      </c>
      <c r="W26" s="83">
        <f>'Grad 4'!I45</f>
        <v>0</v>
      </c>
      <c r="X26" s="84" t="str">
        <f t="shared" si="13"/>
        <v xml:space="preserve"> </v>
      </c>
      <c r="Y26" s="519" t="str">
        <f t="shared" si="14"/>
        <v xml:space="preserve"> </v>
      </c>
      <c r="Z26" s="83">
        <f>'Grad 1'!Z26</f>
        <v>0</v>
      </c>
      <c r="AA26" s="101">
        <f>IF((Z26-4)&gt;0,Z26-4,0)</f>
        <v>0</v>
      </c>
      <c r="AB26" s="101">
        <f>Z26+4</f>
        <v>4</v>
      </c>
      <c r="AC26" s="81" t="str">
        <f t="shared" si="12"/>
        <v>No</v>
      </c>
      <c r="AD26" s="100">
        <f t="shared" si="15"/>
        <v>0</v>
      </c>
      <c r="AE26" t="str">
        <f t="shared" si="16"/>
        <v>0-4</v>
      </c>
    </row>
    <row r="27" spans="1:31" ht="21" customHeight="1">
      <c r="A27" s="33" t="s">
        <v>498</v>
      </c>
      <c r="B27" s="194"/>
      <c r="C27" s="29"/>
      <c r="D27" s="29"/>
      <c r="E27" s="29"/>
      <c r="F27" s="29"/>
      <c r="G27" s="189">
        <f t="shared" si="25"/>
        <v>0.1</v>
      </c>
      <c r="H27" s="189">
        <f t="shared" si="24"/>
        <v>0</v>
      </c>
      <c r="I27" s="190">
        <f t="shared" si="17"/>
        <v>0</v>
      </c>
      <c r="J27" s="55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66</v>
      </c>
      <c r="U27" s="86">
        <f>U26-($U$25-$U$30)/5</f>
        <v>0</v>
      </c>
      <c r="V27" s="86">
        <f>V26-($V$25-$V$30)/5</f>
        <v>0</v>
      </c>
      <c r="W27" s="83">
        <f>'Grad 4'!I46</f>
        <v>0</v>
      </c>
      <c r="X27" s="84" t="str">
        <f t="shared" si="13"/>
        <v xml:space="preserve"> </v>
      </c>
      <c r="Y27" s="519" t="str">
        <f t="shared" si="14"/>
        <v xml:space="preserve"> </v>
      </c>
      <c r="Z27" s="83">
        <f>'Grad 1'!Z27</f>
        <v>0</v>
      </c>
      <c r="AA27" s="101">
        <f>IF((Z27-4)&gt;0,Z27-4,0)</f>
        <v>0</v>
      </c>
      <c r="AB27" s="101">
        <f>Z27+4</f>
        <v>4</v>
      </c>
      <c r="AC27" s="81" t="str">
        <f t="shared" si="12"/>
        <v>No</v>
      </c>
      <c r="AD27" s="100">
        <f t="shared" si="15"/>
        <v>0</v>
      </c>
      <c r="AE27" t="str">
        <f t="shared" si="16"/>
        <v>0-4</v>
      </c>
    </row>
    <row r="28" spans="1:31" ht="21" customHeight="1" thickBot="1">
      <c r="A28" s="33" t="s">
        <v>499</v>
      </c>
      <c r="B28" s="194"/>
      <c r="C28" s="29"/>
      <c r="D28" s="36" t="s">
        <v>27</v>
      </c>
      <c r="E28" s="29"/>
      <c r="F28" s="29"/>
      <c r="G28" s="189">
        <f t="shared" si="25"/>
        <v>0.1</v>
      </c>
      <c r="H28" s="189">
        <f t="shared" si="24"/>
        <v>0</v>
      </c>
      <c r="I28" s="190">
        <f t="shared" si="17"/>
        <v>0</v>
      </c>
      <c r="J28" s="55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67</v>
      </c>
      <c r="U28" s="86">
        <f>U27-($U$25-$U$30)/5</f>
        <v>0</v>
      </c>
      <c r="V28" s="86">
        <f>V27-($V$25-$V$30)/5</f>
        <v>0</v>
      </c>
      <c r="W28" s="83">
        <f>'Grad 4'!I47</f>
        <v>0</v>
      </c>
      <c r="X28" s="84" t="str">
        <f t="shared" si="13"/>
        <v xml:space="preserve"> </v>
      </c>
      <c r="Y28" s="519" t="str">
        <f t="shared" si="14"/>
        <v xml:space="preserve"> </v>
      </c>
      <c r="Z28" s="83">
        <f>'Grad 1'!Z28</f>
        <v>0</v>
      </c>
      <c r="AA28" s="101">
        <f>IF((Z28-3)&gt;0,Z28-3,0)</f>
        <v>0</v>
      </c>
      <c r="AB28" s="101">
        <f>Z28+3</f>
        <v>3</v>
      </c>
      <c r="AC28" s="81" t="str">
        <f t="shared" si="12"/>
        <v>No</v>
      </c>
      <c r="AD28" s="100">
        <f t="shared" si="15"/>
        <v>0</v>
      </c>
      <c r="AE28" t="str">
        <f t="shared" si="16"/>
        <v>0-3</v>
      </c>
    </row>
    <row r="29" spans="1:31" ht="21" customHeight="1" thickBot="1">
      <c r="A29" s="33" t="s">
        <v>39</v>
      </c>
      <c r="B29" s="187"/>
      <c r="C29" s="29"/>
      <c r="D29" s="192">
        <f>IF(B29="",0,SUM(B22:B29))</f>
        <v>0</v>
      </c>
      <c r="E29" s="29"/>
      <c r="F29" s="29"/>
      <c r="G29" s="189">
        <f t="shared" si="25"/>
        <v>0.1</v>
      </c>
      <c r="H29" s="37"/>
      <c r="I29" s="37"/>
      <c r="J29" s="555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68</v>
      </c>
      <c r="U29" s="86">
        <f>U28-($U$25-$U$30)/5</f>
        <v>0</v>
      </c>
      <c r="V29" s="86">
        <f>V28-($V$25-$V$30)/5</f>
        <v>0</v>
      </c>
      <c r="W29" s="83">
        <f>'Grad 4'!I48</f>
        <v>0</v>
      </c>
      <c r="X29" s="84" t="str">
        <f t="shared" si="13"/>
        <v xml:space="preserve"> </v>
      </c>
      <c r="Y29" s="519" t="str">
        <f t="shared" si="14"/>
        <v xml:space="preserve"> </v>
      </c>
      <c r="Z29" s="83">
        <f>'Grad 1'!Z29</f>
        <v>0</v>
      </c>
      <c r="AA29" s="101">
        <f>IF((Z29-2)&gt;0,Z29-2,0)</f>
        <v>0</v>
      </c>
      <c r="AB29" s="101">
        <f>Z29+2</f>
        <v>2</v>
      </c>
      <c r="AC29" s="81" t="str">
        <f t="shared" si="12"/>
        <v>No</v>
      </c>
      <c r="AD29" s="100">
        <f t="shared" si="15"/>
        <v>0</v>
      </c>
      <c r="AE29" t="str">
        <f t="shared" si="16"/>
        <v>0-2</v>
      </c>
    </row>
    <row r="30" spans="1:31" ht="21" customHeight="1">
      <c r="A30" s="509" t="s">
        <v>500</v>
      </c>
      <c r="B30" s="195"/>
      <c r="C30" s="37" t="s">
        <v>37</v>
      </c>
      <c r="D30" s="29"/>
      <c r="E30" s="29"/>
      <c r="F30" s="29"/>
      <c r="G30" s="189">
        <f>SUM(G22:G29)</f>
        <v>0.79999999999999993</v>
      </c>
      <c r="H30" s="191"/>
      <c r="I30" s="191"/>
      <c r="J30" s="555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4'!$I$14</f>
        <v>0</v>
      </c>
      <c r="V30" s="83">
        <f>'Grad 4'!$I$31</f>
        <v>0</v>
      </c>
      <c r="W30" s="83">
        <f>'Grad 4'!I49</f>
        <v>0</v>
      </c>
      <c r="X30" s="84" t="str">
        <f t="shared" si="13"/>
        <v xml:space="preserve"> </v>
      </c>
      <c r="Y30" s="519" t="str">
        <f t="shared" si="14"/>
        <v xml:space="preserve"> </v>
      </c>
      <c r="Z30" s="83">
        <f>'Grad 1'!Z30</f>
        <v>2</v>
      </c>
      <c r="AA30" s="101">
        <v>0</v>
      </c>
      <c r="AB30" s="83">
        <f>Z30</f>
        <v>2</v>
      </c>
      <c r="AC30" s="81" t="str">
        <f t="shared" si="12"/>
        <v>No</v>
      </c>
      <c r="AD30" s="100">
        <f t="shared" si="15"/>
        <v>0</v>
      </c>
      <c r="AE30" t="str">
        <f t="shared" si="16"/>
        <v>0-2</v>
      </c>
    </row>
    <row r="31" spans="1:31" ht="21" customHeight="1" thickBot="1">
      <c r="A31" s="510" t="s">
        <v>501</v>
      </c>
      <c r="B31" s="196"/>
      <c r="C31" s="37" t="s">
        <v>38</v>
      </c>
      <c r="D31" s="29"/>
      <c r="E31" s="29"/>
      <c r="F31" s="29"/>
      <c r="G31" s="191"/>
      <c r="H31" s="38" t="s">
        <v>17</v>
      </c>
      <c r="I31" s="188">
        <f>ROUND(IF(B34=0,0,SUM(B34/B30)*100),1)</f>
        <v>0</v>
      </c>
      <c r="J31" s="554" t="str">
        <f>IF('Proj Info'!B52=" "," ",'Proj Info'!B52)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7"/>
      <c r="U31" s="91"/>
      <c r="V31" s="91"/>
      <c r="W31" s="91"/>
      <c r="X31" s="89"/>
      <c r="Y31" s="89"/>
      <c r="Z31" s="95"/>
      <c r="AA31" s="91"/>
      <c r="AB31" s="91"/>
      <c r="AC31" s="76"/>
      <c r="AD31" s="100">
        <f>+SUM(AD19:AD30)</f>
        <v>0</v>
      </c>
      <c r="AE31" t="str">
        <f>IF(AD31=12,"Y","N")</f>
        <v>N</v>
      </c>
    </row>
    <row r="32" spans="1:31" ht="21" customHeight="1" thickTop="1">
      <c r="A32" s="33" t="s">
        <v>39</v>
      </c>
      <c r="B32" s="187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129</v>
      </c>
      <c r="Y32" s="166" t="str">
        <f>IF(B4="","",((100-Y19)+(Y19-Y20)+(Y20-Y21)+(Y21-Y22)+(Y22-Y23))/((100-Y19)+(Y19-Y20)+(Y20-Y21)+(Y21-Y22)+(Y22-Y23)+(Y23-Y24)+(Y24-Y25))*100)</f>
        <v/>
      </c>
    </row>
    <row r="33" spans="1:25" ht="21" customHeight="1">
      <c r="A33" s="33" t="s">
        <v>41</v>
      </c>
      <c r="B33" s="188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130</v>
      </c>
      <c r="Y33" s="166" t="str">
        <f>IF(Y25="","",Y25)</f>
        <v xml:space="preserve"> </v>
      </c>
    </row>
    <row r="34" spans="1:25" ht="21" customHeight="1">
      <c r="A34" s="33" t="s">
        <v>43</v>
      </c>
      <c r="B34" s="197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502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512" t="s">
        <v>503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513" t="s">
        <v>504</v>
      </c>
      <c r="B39" s="187"/>
      <c r="C39" s="569" t="s">
        <v>45</v>
      </c>
      <c r="D39" s="570"/>
      <c r="E39" s="185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513" t="s">
        <v>505</v>
      </c>
      <c r="B40" s="187"/>
      <c r="C40" s="29"/>
      <c r="D40" s="574" t="str">
        <f>IF(E39&lt;5,"",IF(E39&lt;99.5,"Check Weights.",IF(E39&gt;100.5,"Check Weights","")))</f>
        <v/>
      </c>
      <c r="E40" s="575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33" t="s">
        <v>496</v>
      </c>
      <c r="B41" s="187"/>
      <c r="C41" s="29"/>
      <c r="D41" s="34"/>
      <c r="E41" s="29"/>
      <c r="F41" s="29"/>
      <c r="G41" s="188">
        <f t="shared" ref="G41:G47" si="27">IF($M$52=100,$M41,IF($N$52=100,$N41,IF($O$52=100,$O41,IF($P$52=100,$P41,IF($Q$52=100,$Q41,IF($R$52=100,$R41,$R41))))))</f>
        <v>0.1</v>
      </c>
      <c r="H41" s="188">
        <f>IF(D51=0,0,100-G41)</f>
        <v>0</v>
      </c>
      <c r="I41" s="198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</row>
    <row r="42" spans="1:25" ht="21" customHeight="1">
      <c r="A42" s="33" t="s">
        <v>497</v>
      </c>
      <c r="B42" s="187"/>
      <c r="C42" s="29"/>
      <c r="D42" s="29"/>
      <c r="E42" s="29"/>
      <c r="F42" s="29"/>
      <c r="G42" s="188">
        <f t="shared" si="27"/>
        <v>0.1</v>
      </c>
      <c r="H42" s="188">
        <f t="shared" ref="H42:H49" si="33">IF(H41=0,0,(H41-G42))</f>
        <v>0</v>
      </c>
      <c r="I42" s="198">
        <f t="shared" si="28"/>
        <v>0</v>
      </c>
      <c r="J42" s="13" t="str">
        <f>IF('Proj Info'!B53=" "," ",'Proj Info'!B53)</f>
        <v/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</row>
    <row r="43" spans="1:25" ht="21" customHeight="1">
      <c r="A43" s="33" t="s">
        <v>498</v>
      </c>
      <c r="B43" s="187"/>
      <c r="C43" s="29"/>
      <c r="D43" s="29"/>
      <c r="E43" s="29"/>
      <c r="F43" s="29"/>
      <c r="G43" s="188">
        <f t="shared" si="27"/>
        <v>0.1</v>
      </c>
      <c r="H43" s="188">
        <f t="shared" si="33"/>
        <v>0</v>
      </c>
      <c r="I43" s="198">
        <f t="shared" si="28"/>
        <v>0</v>
      </c>
      <c r="J43" s="13" t="str">
        <f>IF('Proj Info'!B54=" "," ",'Proj Info'!B54)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25" ht="21" customHeight="1">
      <c r="A44" s="33" t="s">
        <v>499</v>
      </c>
      <c r="B44" s="187"/>
      <c r="C44" s="29"/>
      <c r="D44" s="29"/>
      <c r="E44" s="29"/>
      <c r="F44" s="29"/>
      <c r="G44" s="188">
        <f t="shared" si="27"/>
        <v>0.1</v>
      </c>
      <c r="H44" s="188">
        <f t="shared" si="33"/>
        <v>0</v>
      </c>
      <c r="I44" s="198">
        <f t="shared" si="28"/>
        <v>0</v>
      </c>
      <c r="J44" s="13" t="str">
        <f>IF('Proj Info'!B55=" "," ",'Proj Info'!B55)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25" ht="21" customHeight="1">
      <c r="A45" s="33" t="s">
        <v>506</v>
      </c>
      <c r="B45" s="187"/>
      <c r="C45" s="29"/>
      <c r="D45" s="29"/>
      <c r="E45" s="29"/>
      <c r="F45" s="29"/>
      <c r="G45" s="188">
        <f t="shared" si="27"/>
        <v>0.1</v>
      </c>
      <c r="H45" s="188">
        <f t="shared" si="33"/>
        <v>0</v>
      </c>
      <c r="I45" s="198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25" ht="21" customHeight="1">
      <c r="A46" s="33" t="s">
        <v>507</v>
      </c>
      <c r="B46" s="187"/>
      <c r="C46" s="29"/>
      <c r="D46" s="29"/>
      <c r="E46" s="29"/>
      <c r="F46" s="29"/>
      <c r="G46" s="188">
        <f t="shared" si="27"/>
        <v>0.1</v>
      </c>
      <c r="H46" s="188">
        <f t="shared" si="33"/>
        <v>0</v>
      </c>
      <c r="I46" s="198">
        <f t="shared" si="28"/>
        <v>0</v>
      </c>
      <c r="J46" s="13" t="str">
        <f>IF('Proj Info'!B56=" "," ",'Proj Info'!B56)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25" ht="21" customHeight="1">
      <c r="A47" s="33" t="s">
        <v>508</v>
      </c>
      <c r="B47" s="187"/>
      <c r="C47" s="29"/>
      <c r="D47" s="29"/>
      <c r="E47" s="29"/>
      <c r="F47" s="29"/>
      <c r="G47" s="188">
        <f t="shared" si="27"/>
        <v>0.1</v>
      </c>
      <c r="H47" s="188">
        <f t="shared" si="33"/>
        <v>0</v>
      </c>
      <c r="I47" s="198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25" ht="21" customHeight="1">
      <c r="A48" s="33" t="s">
        <v>509</v>
      </c>
      <c r="B48" s="187"/>
      <c r="C48" s="29"/>
      <c r="D48" s="29"/>
      <c r="E48" s="29"/>
      <c r="F48" s="29"/>
      <c r="G48" s="188">
        <f>IF($M$52=100,$M48,IF($N$52=100,$N48,IF($O$52=100,$O48,IF($P$52=100,$P48,IF($Q$52=100,$Q48,IF($R$52=100,$R48,$R48))))))</f>
        <v>0.1</v>
      </c>
      <c r="H48" s="188">
        <f t="shared" si="33"/>
        <v>0</v>
      </c>
      <c r="I48" s="198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510</v>
      </c>
      <c r="B49" s="187"/>
      <c r="C49" s="29"/>
      <c r="D49" s="29"/>
      <c r="E49" s="29"/>
      <c r="F49" s="29"/>
      <c r="G49" s="188">
        <f>IF($M$52=100,$M49,IF($N$52=100,$N49,IF($O$52=100,$O49,IF($P$52=100,$P49,IF($Q$52=100,$Q49,IF($R$52=100,$R49,$R49))))))</f>
        <v>0.1</v>
      </c>
      <c r="H49" s="188">
        <f t="shared" si="33"/>
        <v>0</v>
      </c>
      <c r="I49" s="198">
        <f t="shared" si="28"/>
        <v>0</v>
      </c>
      <c r="J49" s="13" t="str">
        <f>IF('Proj Info'!B57=" "," ",'Proj Info'!B57)</f>
        <v/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87"/>
      <c r="C50" s="29"/>
      <c r="D50" s="36" t="s">
        <v>27</v>
      </c>
      <c r="E50" s="29"/>
      <c r="F50" s="29"/>
      <c r="G50" s="188">
        <f>IF($M$52=100,$M50,IF($N$52=100,$N50,IF($O$52=100,$O50,IF($P$52=100,$P50,IF($Q$52=100,$Q50,IF($R$52=100,$R50,$R50))))))</f>
        <v>0.1</v>
      </c>
      <c r="H50" s="184"/>
      <c r="I50" s="184"/>
      <c r="J50" s="184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8">
        <f>IF(B40="",0,SUM(B39-B40))</f>
        <v>0</v>
      </c>
      <c r="C51" s="29"/>
      <c r="D51" s="186">
        <f>IF(B50="",0,SUM(B41:B51))</f>
        <v>0</v>
      </c>
      <c r="E51" s="29"/>
      <c r="F51" s="29"/>
      <c r="G51" s="188">
        <f>IF(G50="",0,SUM(G41:G50))</f>
        <v>0.99999999999999989</v>
      </c>
      <c r="H51" s="184"/>
      <c r="I51" s="184"/>
      <c r="J51" s="184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0FaCWLc2EeiiwwpY4pZpTLvJJa4gsOQjuhOZXpEdwyxcD2Fn7Q2Z/i3M1W6bkGac734dZ0lN0qOYgoLuKZs9gA==" saltValue="usJNt26VxDDFzQ00ICdKqA==" spinCount="100000" sheet="1" objects="1" scenarios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AE52"/>
  <sheetViews>
    <sheetView defaultGridColor="0" view="pageBreakPreview" topLeftCell="A13" colorId="22" zoomScale="75" zoomScaleNormal="60" workbookViewId="0">
      <pane xSplit="1" topLeftCell="B1" activePane="topRight" state="frozen"/>
      <selection pane="topRight" activeCell="J22" sqref="J22:J31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364</v>
      </c>
      <c r="B1" s="515"/>
    </row>
    <row r="2" spans="1:29" ht="21" customHeight="1">
      <c r="A2" s="44" t="s">
        <v>145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146</v>
      </c>
      <c r="B3" s="212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09" t="s">
        <v>144</v>
      </c>
      <c r="B4" s="193"/>
      <c r="C4" s="569" t="s">
        <v>31</v>
      </c>
      <c r="D4" s="573"/>
      <c r="E4" s="185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134</v>
      </c>
      <c r="U4" s="45"/>
      <c r="V4" s="45"/>
      <c r="W4" s="45"/>
      <c r="Y4" s="48" t="s">
        <v>73</v>
      </c>
      <c r="Z4" s="45"/>
    </row>
    <row r="5" spans="1:29" ht="21" customHeight="1" thickTop="1">
      <c r="A5" s="33" t="s">
        <v>493</v>
      </c>
      <c r="B5" s="194"/>
      <c r="C5" s="29"/>
      <c r="D5" s="574" t="str">
        <f>IF(E4&lt;5,"",IF(E4&lt;99.5,"Check Weights.",IF(E4&gt;100.5,"Check Weights","")))</f>
        <v/>
      </c>
      <c r="E5" s="575"/>
      <c r="F5" s="29"/>
      <c r="G5" s="189">
        <f t="shared" ref="G5:G12" si="0">IF($M$14=100,$M5,IF($N$14=100,$N5,IF($O$14=100,$O5,IF($P$14=100,$P5,IF($Q$14=100,$Q5,IF($R$14=100,$R5,$R5))))))</f>
        <v>0.1</v>
      </c>
      <c r="H5" s="189">
        <f>IF(D12=0,0,100)</f>
        <v>0</v>
      </c>
      <c r="I5" s="190">
        <f t="shared" ref="I5:I11" si="1">IF(H5&gt;9.9,ROUND(H5,0),ROUND(H5,1))</f>
        <v>0</v>
      </c>
      <c r="J5" s="13" t="str">
        <f>IF('Proj Info'!B39=" "," ",'Proj Info'!B39)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74</v>
      </c>
      <c r="U5" s="50"/>
      <c r="V5" s="50"/>
      <c r="W5" s="51"/>
      <c r="X5" s="52"/>
      <c r="Y5" s="52">
        <f>'QMC Mix'!D32</f>
        <v>0</v>
      </c>
      <c r="Z5" s="53" t="e">
        <f>Y5/(SUM($Y$5:$Y$7))</f>
        <v>#DIV/0!</v>
      </c>
    </row>
    <row r="6" spans="1:29" ht="21" customHeight="1">
      <c r="A6" s="33" t="s">
        <v>494</v>
      </c>
      <c r="B6" s="194"/>
      <c r="C6" s="29"/>
      <c r="D6" s="31"/>
      <c r="E6" s="29"/>
      <c r="F6" s="29"/>
      <c r="G6" s="189">
        <f t="shared" si="0"/>
        <v>0.1</v>
      </c>
      <c r="H6" s="189">
        <f t="shared" ref="H6:H11" si="8">IF(H5=0,0,(H5-G6))</f>
        <v>0</v>
      </c>
      <c r="I6" s="190">
        <f t="shared" si="1"/>
        <v>0</v>
      </c>
      <c r="J6" s="13" t="str">
        <f>IF('Proj Info'!B40=" "," ",'Proj Info'!B40)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75</v>
      </c>
      <c r="U6" s="55"/>
      <c r="V6" s="55"/>
      <c r="W6" s="56"/>
      <c r="X6" s="57"/>
      <c r="Y6" s="58">
        <f>'QMC Mix'!D33</f>
        <v>0</v>
      </c>
      <c r="Z6" s="59" t="e">
        <f>Y6/(SUM($Y$5:$Y$7))</f>
        <v>#DIV/0!</v>
      </c>
    </row>
    <row r="7" spans="1:29" ht="21" customHeight="1" thickBot="1">
      <c r="A7" s="33" t="s">
        <v>495</v>
      </c>
      <c r="B7" s="194"/>
      <c r="C7" s="29"/>
      <c r="D7" s="29"/>
      <c r="E7" s="29"/>
      <c r="F7" s="29"/>
      <c r="G7" s="189">
        <f t="shared" si="0"/>
        <v>0.1</v>
      </c>
      <c r="H7" s="189">
        <f t="shared" si="8"/>
        <v>0</v>
      </c>
      <c r="I7" s="190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76</v>
      </c>
      <c r="U7" s="61"/>
      <c r="V7" s="61"/>
      <c r="W7" s="62"/>
      <c r="X7" s="63"/>
      <c r="Y7" s="64">
        <f>'QMC Mix'!D34</f>
        <v>0</v>
      </c>
      <c r="Z7" s="65" t="e">
        <f>Y7/(SUM($Y$5:Y$7))</f>
        <v>#DIV/0!</v>
      </c>
    </row>
    <row r="8" spans="1:29" ht="21" customHeight="1" thickTop="1">
      <c r="A8" s="33" t="s">
        <v>496</v>
      </c>
      <c r="B8" s="194"/>
      <c r="C8" s="29"/>
      <c r="D8" s="29"/>
      <c r="E8" s="29"/>
      <c r="F8" s="29"/>
      <c r="G8" s="189">
        <f t="shared" si="0"/>
        <v>0.1</v>
      </c>
      <c r="H8" s="189">
        <f t="shared" si="8"/>
        <v>0</v>
      </c>
      <c r="I8" s="190">
        <f t="shared" si="1"/>
        <v>0</v>
      </c>
      <c r="J8" s="13" t="str">
        <f>IF('Proj Info'!B42=" "," ",'Proj Info'!B42)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497</v>
      </c>
      <c r="B9" s="194"/>
      <c r="C9" s="29"/>
      <c r="D9" s="29"/>
      <c r="E9" s="29"/>
      <c r="F9" s="29"/>
      <c r="G9" s="189">
        <f t="shared" si="0"/>
        <v>0.1</v>
      </c>
      <c r="H9" s="189">
        <f t="shared" si="8"/>
        <v>0</v>
      </c>
      <c r="I9" s="190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498</v>
      </c>
      <c r="B10" s="194"/>
      <c r="C10" s="29"/>
      <c r="D10" s="29"/>
      <c r="E10" s="29"/>
      <c r="F10" s="29"/>
      <c r="G10" s="189">
        <f t="shared" si="0"/>
        <v>0.1</v>
      </c>
      <c r="H10" s="189">
        <f t="shared" si="8"/>
        <v>0</v>
      </c>
      <c r="I10" s="190">
        <f t="shared" si="1"/>
        <v>0</v>
      </c>
      <c r="J10" s="13" t="str">
        <f>IF('Proj Info'!B44=" "," ",'Proj Info'!B44)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499</v>
      </c>
      <c r="B11" s="194"/>
      <c r="C11" s="29"/>
      <c r="D11" s="36" t="s">
        <v>27</v>
      </c>
      <c r="E11" s="29"/>
      <c r="F11" s="29"/>
      <c r="G11" s="189">
        <f t="shared" si="0"/>
        <v>0.1</v>
      </c>
      <c r="H11" s="189">
        <f t="shared" si="8"/>
        <v>0</v>
      </c>
      <c r="I11" s="190">
        <f t="shared" si="1"/>
        <v>0</v>
      </c>
      <c r="J11" s="13" t="str">
        <f>IF('Proj Info'!B45=" "," ",'Proj Info'!B45)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39</v>
      </c>
      <c r="B12" s="187"/>
      <c r="C12" s="29"/>
      <c r="D12" s="192">
        <f>IF(B12="",0,SUM(B5:B12))</f>
        <v>0</v>
      </c>
      <c r="E12" s="29"/>
      <c r="F12" s="29"/>
      <c r="G12" s="189">
        <f t="shared" si="0"/>
        <v>0.1</v>
      </c>
      <c r="H12" s="37"/>
      <c r="I12" s="37"/>
      <c r="J12" s="210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128</v>
      </c>
      <c r="U12" s="45"/>
      <c r="V12" s="45"/>
      <c r="W12" s="45"/>
      <c r="X12" s="48"/>
      <c r="Y12" s="48"/>
      <c r="Z12" s="45"/>
      <c r="AA12" s="92"/>
      <c r="AB12" s="92"/>
      <c r="AC12" s="93"/>
    </row>
    <row r="13" spans="1:29" ht="21" customHeight="1" thickBot="1">
      <c r="A13" s="509" t="s">
        <v>500</v>
      </c>
      <c r="B13" s="195"/>
      <c r="C13" s="37" t="s">
        <v>37</v>
      </c>
      <c r="D13" s="29"/>
      <c r="E13" s="29"/>
      <c r="F13" s="29"/>
      <c r="G13" s="189">
        <f>SUM(G5:G12)</f>
        <v>0.79999999999999993</v>
      </c>
      <c r="H13" s="191"/>
      <c r="I13" s="191"/>
      <c r="J13" s="210"/>
      <c r="K13" s="14"/>
      <c r="L13" s="14"/>
      <c r="M13" s="16"/>
      <c r="N13" s="17"/>
      <c r="O13" s="19"/>
      <c r="P13" s="19"/>
      <c r="Q13" s="19"/>
      <c r="R13" s="19"/>
      <c r="T13" s="2"/>
      <c r="U13" s="66"/>
      <c r="V13" s="66"/>
      <c r="W13" s="66"/>
      <c r="X13" s="94"/>
      <c r="Y13" s="94"/>
      <c r="Z13" s="66"/>
      <c r="AA13" s="66"/>
      <c r="AB13" s="66"/>
      <c r="AC13" s="2"/>
    </row>
    <row r="14" spans="1:29" ht="21" customHeight="1" thickTop="1">
      <c r="A14" s="510" t="s">
        <v>501</v>
      </c>
      <c r="B14" s="196"/>
      <c r="C14" s="37" t="s">
        <v>38</v>
      </c>
      <c r="D14" s="29"/>
      <c r="E14" s="29"/>
      <c r="F14" s="29"/>
      <c r="G14" s="191"/>
      <c r="H14" s="38" t="s">
        <v>17</v>
      </c>
      <c r="I14" s="188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77</v>
      </c>
      <c r="Z14" s="68" t="s">
        <v>78</v>
      </c>
      <c r="AA14" s="68" t="s">
        <v>78</v>
      </c>
      <c r="AB14" s="68" t="s">
        <v>78</v>
      </c>
      <c r="AC14" s="69"/>
    </row>
    <row r="15" spans="1:29" ht="21" customHeight="1">
      <c r="A15" s="33" t="s">
        <v>39</v>
      </c>
      <c r="B15" s="187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79</v>
      </c>
      <c r="U15" s="71" t="s">
        <v>16</v>
      </c>
      <c r="V15" s="71" t="s">
        <v>16</v>
      </c>
      <c r="W15" s="71" t="s">
        <v>16</v>
      </c>
      <c r="X15" s="71"/>
      <c r="Y15" s="71" t="s">
        <v>80</v>
      </c>
      <c r="Z15" s="71" t="s">
        <v>81</v>
      </c>
      <c r="AA15" s="71" t="s">
        <v>82</v>
      </c>
      <c r="AB15" s="71" t="s">
        <v>83</v>
      </c>
      <c r="AC15" s="72" t="s">
        <v>84</v>
      </c>
    </row>
    <row r="16" spans="1:29" ht="21" customHeight="1">
      <c r="A16" s="33" t="s">
        <v>41</v>
      </c>
      <c r="B16" s="188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85</v>
      </c>
      <c r="U16" s="71" t="s">
        <v>71</v>
      </c>
      <c r="V16" s="71" t="s">
        <v>71</v>
      </c>
      <c r="W16" s="71" t="s">
        <v>71</v>
      </c>
      <c r="X16" s="71"/>
      <c r="Y16" s="71" t="s">
        <v>86</v>
      </c>
      <c r="Z16" s="71" t="s">
        <v>86</v>
      </c>
      <c r="AA16" s="71" t="s">
        <v>86</v>
      </c>
      <c r="AB16" s="71" t="s">
        <v>86</v>
      </c>
      <c r="AC16" s="73" t="s">
        <v>81</v>
      </c>
    </row>
    <row r="17" spans="1:31" ht="21" customHeight="1" thickBot="1">
      <c r="A17" s="33" t="s">
        <v>43</v>
      </c>
      <c r="B17" s="197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87</v>
      </c>
      <c r="V17" s="75" t="s">
        <v>87</v>
      </c>
      <c r="W17" s="75" t="s">
        <v>87</v>
      </c>
      <c r="X17" s="75"/>
      <c r="Y17" s="75" t="s">
        <v>87</v>
      </c>
      <c r="Z17" s="75" t="s">
        <v>87</v>
      </c>
      <c r="AA17" s="75" t="s">
        <v>87</v>
      </c>
      <c r="AB17" s="75" t="s">
        <v>87</v>
      </c>
      <c r="AC17" s="76"/>
    </row>
    <row r="18" spans="1:31" ht="21" customHeight="1" thickTop="1">
      <c r="A18" s="33" t="s">
        <v>502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88</v>
      </c>
      <c r="U19" s="83">
        <f>'Grad 5'!I5</f>
        <v>0</v>
      </c>
      <c r="V19" s="83">
        <f>'Grad 5'!I22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519" t="str">
        <f>X19</f>
        <v xml:space="preserve"> </v>
      </c>
      <c r="Z19" s="83">
        <f>'Grad 1'!Z19</f>
        <v>100</v>
      </c>
      <c r="AA19" s="101">
        <f t="shared" ref="AA19:AA24" si="10">IF((Z19-5)&gt;0,Z19-5,0)</f>
        <v>95</v>
      </c>
      <c r="AB19" s="101">
        <f t="shared" ref="AB19:AB24" si="11">IF(Z19+5&gt;100,100,Z19+5)</f>
        <v>100</v>
      </c>
      <c r="AC19" s="81" t="str">
        <f t="shared" ref="AC19:AC30" si="12">IF(AND(AA19&lt;=X19,X19&lt;=AB19),"Yes","No")</f>
        <v>No</v>
      </c>
      <c r="AD19" s="100">
        <f>IF(AC19="YES",1,0)</f>
        <v>0</v>
      </c>
      <c r="AE19" t="str">
        <f>CONCATENATE(AA19,"-",AB19)</f>
        <v>95-100</v>
      </c>
    </row>
    <row r="20" spans="1:31" ht="21" customHeight="1">
      <c r="A20" s="25" t="s">
        <v>503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59</v>
      </c>
      <c r="U20" s="83">
        <f>'Grad 5'!I6</f>
        <v>0</v>
      </c>
      <c r="V20" s="83">
        <f>'Grad 5'!I23</f>
        <v>0</v>
      </c>
      <c r="W20" s="83">
        <v>100</v>
      </c>
      <c r="X20" s="84" t="str">
        <f t="shared" ref="X20:X30" si="13">IF($B$4=0," ",IF($B$20=" ",U20*$Z$5+W20*$Z$7,U20*$Z$5+V20*$Z$6+W20*Z$7))</f>
        <v xml:space="preserve"> </v>
      </c>
      <c r="Y20" s="519" t="str">
        <f t="shared" ref="Y20:Y30" si="14">X20</f>
        <v xml:space="preserve"> </v>
      </c>
      <c r="Z20" s="83">
        <f>'Grad 1'!Z20</f>
        <v>0</v>
      </c>
      <c r="AA20" s="101">
        <f t="shared" si="10"/>
        <v>0</v>
      </c>
      <c r="AB20" s="101">
        <f t="shared" si="11"/>
        <v>5</v>
      </c>
      <c r="AC20" s="81" t="str">
        <f t="shared" si="12"/>
        <v>No</v>
      </c>
      <c r="AD20" s="100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511" t="s">
        <v>500</v>
      </c>
      <c r="B21" s="193"/>
      <c r="C21" s="569" t="s">
        <v>31</v>
      </c>
      <c r="D21" s="573"/>
      <c r="E21" s="185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60</v>
      </c>
      <c r="U21" s="83">
        <f>'Grad 5'!I7</f>
        <v>0</v>
      </c>
      <c r="V21" s="83">
        <f>'Grad 5'!I24</f>
        <v>0</v>
      </c>
      <c r="W21" s="83">
        <v>100</v>
      </c>
      <c r="X21" s="84" t="str">
        <f t="shared" si="13"/>
        <v xml:space="preserve"> </v>
      </c>
      <c r="Y21" s="519" t="str">
        <f t="shared" si="14"/>
        <v xml:space="preserve"> </v>
      </c>
      <c r="Z21" s="83">
        <f>'Grad 1'!Z21</f>
        <v>0</v>
      </c>
      <c r="AA21" s="101">
        <f t="shared" si="10"/>
        <v>0</v>
      </c>
      <c r="AB21" s="101">
        <f t="shared" si="11"/>
        <v>5</v>
      </c>
      <c r="AC21" s="81" t="str">
        <f t="shared" si="12"/>
        <v>No</v>
      </c>
      <c r="AD21" s="100">
        <f t="shared" si="15"/>
        <v>0</v>
      </c>
      <c r="AE21" t="str">
        <f t="shared" si="16"/>
        <v>0-5</v>
      </c>
    </row>
    <row r="22" spans="1:31" ht="21" customHeight="1">
      <c r="A22" s="33" t="s">
        <v>493</v>
      </c>
      <c r="B22" s="194"/>
      <c r="C22" s="29"/>
      <c r="D22" s="574" t="str">
        <f>IF(E21&lt;5,"",IF(E21&lt;99.5,"Check Weights.",IF(E21&gt;100.5,"Check Weights","")))</f>
        <v/>
      </c>
      <c r="E22" s="575"/>
      <c r="F22" s="29"/>
      <c r="G22" s="189">
        <f>IF($M$22=100,$M22,IF($N$22=100,$N22,IF($O$22=100,$O22,IF($P$22=100,$P22,IF($Q$22=100,$Q22,IF($R$22=100,$R22,$R22))))))</f>
        <v>0.1</v>
      </c>
      <c r="H22" s="189">
        <f>IF(D29=0,0,100)</f>
        <v>0</v>
      </c>
      <c r="I22" s="190">
        <f t="shared" ref="I22:I28" si="17">IF(H22&gt;9.9,ROUND(H22,0),ROUND(H22,1))</f>
        <v>0</v>
      </c>
      <c r="J22" s="199"/>
      <c r="K22" s="17">
        <f>LARGE(M22:M29,1)</f>
        <v>0</v>
      </c>
      <c r="L22" s="17">
        <f>IF(M31&lt;100,(K22+0.1),IF(M31&gt;100,(K22-0.1),K22))</f>
        <v>0.1</v>
      </c>
      <c r="M22" s="18">
        <f t="shared" ref="M22:M29" si="18">ROUND(IF(B22="",0,SUM(B22/$B$21)*100),1)</f>
        <v>0</v>
      </c>
      <c r="N22" s="15">
        <f t="shared" ref="N22:N29" si="19">IF(M22=$K$22,$L$22,M22)</f>
        <v>0.1</v>
      </c>
      <c r="O22" s="15">
        <f t="shared" ref="O22:O29" si="20">IF(N22=K$23,L$23,N22)</f>
        <v>0.1</v>
      </c>
      <c r="P22" s="15">
        <f t="shared" ref="P22:P29" si="21">IF(O22=K$24,L$24,O22)</f>
        <v>0.1</v>
      </c>
      <c r="Q22" s="15">
        <f t="shared" ref="Q22:Q29" si="22">IF(P22=K$25,L$25,P22)</f>
        <v>0.1</v>
      </c>
      <c r="R22" s="15">
        <f t="shared" ref="R22:R29" si="23">IF(Q22=K$26,L$26,Q22)</f>
        <v>0.1</v>
      </c>
      <c r="T22" s="82" t="s">
        <v>61</v>
      </c>
      <c r="U22" s="83">
        <f>'Grad 5'!I8</f>
        <v>0</v>
      </c>
      <c r="V22" s="83">
        <f>'Grad 5'!I25</f>
        <v>0</v>
      </c>
      <c r="W22" s="83">
        <f>'Grad 5'!I41</f>
        <v>0</v>
      </c>
      <c r="X22" s="84" t="str">
        <f t="shared" si="13"/>
        <v xml:space="preserve"> </v>
      </c>
      <c r="Y22" s="519" t="str">
        <f t="shared" si="14"/>
        <v xml:space="preserve"> </v>
      </c>
      <c r="Z22" s="83">
        <f>'Grad 1'!Z22</f>
        <v>0</v>
      </c>
      <c r="AA22" s="101">
        <f t="shared" si="10"/>
        <v>0</v>
      </c>
      <c r="AB22" s="101">
        <f t="shared" si="11"/>
        <v>5</v>
      </c>
      <c r="AC22" s="81" t="str">
        <f t="shared" si="12"/>
        <v>No</v>
      </c>
      <c r="AD22" s="100">
        <f t="shared" si="15"/>
        <v>0</v>
      </c>
      <c r="AE22" t="str">
        <f t="shared" si="16"/>
        <v>0-5</v>
      </c>
    </row>
    <row r="23" spans="1:31" ht="21" customHeight="1">
      <c r="A23" s="33" t="s">
        <v>494</v>
      </c>
      <c r="B23" s="194"/>
      <c r="C23" s="29"/>
      <c r="D23" s="31"/>
      <c r="E23" s="29"/>
      <c r="F23" s="29"/>
      <c r="G23" s="189">
        <f>IF($M$23=100,$M23,IF($N$23=100,$N23,IF($O$23=100,$O23,IF($P$23=100,$P23,IF($Q$23=100,$Q23,IF($R$23=100,$R23,$R23))))))</f>
        <v>0.1</v>
      </c>
      <c r="H23" s="189">
        <f t="shared" ref="H23:H28" si="24">IF(H22=0,0,(H22-G23))</f>
        <v>0</v>
      </c>
      <c r="I23" s="190">
        <f t="shared" si="17"/>
        <v>0</v>
      </c>
      <c r="J23" s="199"/>
      <c r="K23" s="17">
        <f>LARGE(M22:M29,2)</f>
        <v>0</v>
      </c>
      <c r="L23" s="17">
        <f>IF(N31&gt;100,K23-0.1,IF(N31&lt;100,K23+0.1,K23))</f>
        <v>0.1</v>
      </c>
      <c r="M23" s="18">
        <f t="shared" si="18"/>
        <v>0</v>
      </c>
      <c r="N23" s="15">
        <f t="shared" si="19"/>
        <v>0.1</v>
      </c>
      <c r="O23" s="15">
        <f t="shared" si="20"/>
        <v>0.1</v>
      </c>
      <c r="P23" s="15">
        <f t="shared" si="21"/>
        <v>0.1</v>
      </c>
      <c r="Q23" s="15">
        <f t="shared" si="22"/>
        <v>0.1</v>
      </c>
      <c r="R23" s="15">
        <f t="shared" si="23"/>
        <v>0.1</v>
      </c>
      <c r="T23" s="82" t="s">
        <v>62</v>
      </c>
      <c r="U23" s="83">
        <f>'Grad 5'!I9</f>
        <v>0</v>
      </c>
      <c r="V23" s="83">
        <f>'Grad 5'!I26</f>
        <v>0</v>
      </c>
      <c r="W23" s="83">
        <f>'Grad 5'!I42</f>
        <v>0</v>
      </c>
      <c r="X23" s="84" t="str">
        <f t="shared" si="13"/>
        <v xml:space="preserve"> </v>
      </c>
      <c r="Y23" s="519" t="str">
        <f t="shared" si="14"/>
        <v xml:space="preserve"> </v>
      </c>
      <c r="Z23" s="83">
        <f>'Grad 1'!Z23</f>
        <v>0</v>
      </c>
      <c r="AA23" s="101">
        <f t="shared" si="10"/>
        <v>0</v>
      </c>
      <c r="AB23" s="101">
        <f t="shared" si="11"/>
        <v>5</v>
      </c>
      <c r="AC23" s="81" t="str">
        <f t="shared" si="12"/>
        <v>No</v>
      </c>
      <c r="AD23" s="100">
        <f t="shared" si="15"/>
        <v>0</v>
      </c>
      <c r="AE23" t="str">
        <f t="shared" si="16"/>
        <v>0-5</v>
      </c>
    </row>
    <row r="24" spans="1:31" ht="21" customHeight="1">
      <c r="A24" s="33" t="s">
        <v>495</v>
      </c>
      <c r="B24" s="194"/>
      <c r="C24" s="29"/>
      <c r="D24" s="29"/>
      <c r="E24" s="29"/>
      <c r="F24" s="29"/>
      <c r="G24" s="189">
        <f t="shared" ref="G24:G29" si="25">IF($M$14=100,$M24,IF($N$14=100,$N24,IF($O$14=100,$O24,IF($P$14=100,$P24,IF($Q$14=100,$Q24,IF($R$14=100,$R24,$R24))))))</f>
        <v>0.1</v>
      </c>
      <c r="H24" s="189">
        <f t="shared" si="24"/>
        <v>0</v>
      </c>
      <c r="I24" s="190">
        <f t="shared" si="17"/>
        <v>0</v>
      </c>
      <c r="J24" s="55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63</v>
      </c>
      <c r="U24" s="83">
        <f>'Grad 5'!I10</f>
        <v>0</v>
      </c>
      <c r="V24" s="83">
        <f>'Grad 5'!I27</f>
        <v>0</v>
      </c>
      <c r="W24" s="83">
        <f>'Grad 5'!I43</f>
        <v>0</v>
      </c>
      <c r="X24" s="84" t="str">
        <f t="shared" si="13"/>
        <v xml:space="preserve"> </v>
      </c>
      <c r="Y24" s="519" t="str">
        <f t="shared" si="14"/>
        <v xml:space="preserve"> </v>
      </c>
      <c r="Z24" s="83">
        <f>'Grad 1'!Z24</f>
        <v>0</v>
      </c>
      <c r="AA24" s="101">
        <f t="shared" si="10"/>
        <v>0</v>
      </c>
      <c r="AB24" s="101">
        <f t="shared" si="11"/>
        <v>5</v>
      </c>
      <c r="AC24" s="81" t="str">
        <f t="shared" si="12"/>
        <v>No</v>
      </c>
      <c r="AD24" s="100">
        <f t="shared" si="15"/>
        <v>0</v>
      </c>
      <c r="AE24" t="str">
        <f t="shared" si="16"/>
        <v>0-5</v>
      </c>
    </row>
    <row r="25" spans="1:31" ht="21" customHeight="1">
      <c r="A25" s="33" t="s">
        <v>496</v>
      </c>
      <c r="B25" s="194"/>
      <c r="C25" s="29"/>
      <c r="D25" s="29"/>
      <c r="E25" s="29"/>
      <c r="F25" s="29"/>
      <c r="G25" s="189">
        <f t="shared" si="25"/>
        <v>0.1</v>
      </c>
      <c r="H25" s="189">
        <f t="shared" si="24"/>
        <v>0</v>
      </c>
      <c r="I25" s="190">
        <f t="shared" si="17"/>
        <v>0</v>
      </c>
      <c r="J25" s="55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64</v>
      </c>
      <c r="U25" s="83">
        <f>'Grad 5'!I11</f>
        <v>0</v>
      </c>
      <c r="V25" s="83">
        <f>'Grad 5'!I28</f>
        <v>0</v>
      </c>
      <c r="W25" s="83">
        <f>'Grad 5'!I44</f>
        <v>0</v>
      </c>
      <c r="X25" s="84" t="str">
        <f t="shared" si="13"/>
        <v xml:space="preserve"> </v>
      </c>
      <c r="Y25" s="519" t="str">
        <f t="shared" si="14"/>
        <v xml:space="preserve"> </v>
      </c>
      <c r="Z25" s="83">
        <f>'Grad 1'!Z25</f>
        <v>0</v>
      </c>
      <c r="AA25" s="101">
        <f>IF((Z25-4)&gt;0,Z25-4,0)</f>
        <v>0</v>
      </c>
      <c r="AB25" s="101">
        <f>Z25+4</f>
        <v>4</v>
      </c>
      <c r="AC25" s="81" t="str">
        <f t="shared" si="12"/>
        <v>No</v>
      </c>
      <c r="AD25" s="100">
        <f t="shared" si="15"/>
        <v>0</v>
      </c>
      <c r="AE25" t="str">
        <f t="shared" si="16"/>
        <v>0-4</v>
      </c>
    </row>
    <row r="26" spans="1:31" ht="21" customHeight="1">
      <c r="A26" s="33" t="s">
        <v>497</v>
      </c>
      <c r="B26" s="194"/>
      <c r="C26" s="29"/>
      <c r="D26" s="29"/>
      <c r="E26" s="29"/>
      <c r="F26" s="29"/>
      <c r="G26" s="189">
        <f t="shared" si="25"/>
        <v>0.1</v>
      </c>
      <c r="H26" s="189">
        <f t="shared" si="24"/>
        <v>0</v>
      </c>
      <c r="I26" s="190">
        <f t="shared" si="17"/>
        <v>0</v>
      </c>
      <c r="J26" s="55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65</v>
      </c>
      <c r="U26" s="86">
        <f>U25-($U$25-$U$30)/5</f>
        <v>0</v>
      </c>
      <c r="V26" s="86">
        <f>V25-($V$25-$V$30)/5</f>
        <v>0</v>
      </c>
      <c r="W26" s="83">
        <f>'Grad 5'!I45</f>
        <v>0</v>
      </c>
      <c r="X26" s="84" t="str">
        <f t="shared" si="13"/>
        <v xml:space="preserve"> </v>
      </c>
      <c r="Y26" s="519" t="str">
        <f t="shared" si="14"/>
        <v xml:space="preserve"> </v>
      </c>
      <c r="Z26" s="83">
        <f>'Grad 1'!Z26</f>
        <v>0</v>
      </c>
      <c r="AA26" s="101">
        <f>IF((Z26-4)&gt;0,Z26-4,0)</f>
        <v>0</v>
      </c>
      <c r="AB26" s="101">
        <f>Z26+4</f>
        <v>4</v>
      </c>
      <c r="AC26" s="81" t="str">
        <f t="shared" si="12"/>
        <v>No</v>
      </c>
      <c r="AD26" s="100">
        <f t="shared" si="15"/>
        <v>0</v>
      </c>
      <c r="AE26" t="str">
        <f t="shared" si="16"/>
        <v>0-4</v>
      </c>
    </row>
    <row r="27" spans="1:31" ht="21" customHeight="1">
      <c r="A27" s="33" t="s">
        <v>498</v>
      </c>
      <c r="B27" s="194"/>
      <c r="C27" s="29"/>
      <c r="D27" s="29"/>
      <c r="E27" s="29"/>
      <c r="F27" s="29"/>
      <c r="G27" s="189">
        <f t="shared" si="25"/>
        <v>0.1</v>
      </c>
      <c r="H27" s="189">
        <f t="shared" si="24"/>
        <v>0</v>
      </c>
      <c r="I27" s="190">
        <f t="shared" si="17"/>
        <v>0</v>
      </c>
      <c r="J27" s="55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66</v>
      </c>
      <c r="U27" s="86">
        <f>U26-($U$25-$U$30)/5</f>
        <v>0</v>
      </c>
      <c r="V27" s="86">
        <f>V26-($V$25-$V$30)/5</f>
        <v>0</v>
      </c>
      <c r="W27" s="83">
        <f>'Grad 5'!I46</f>
        <v>0</v>
      </c>
      <c r="X27" s="84" t="str">
        <f t="shared" si="13"/>
        <v xml:space="preserve"> </v>
      </c>
      <c r="Y27" s="519" t="str">
        <f t="shared" si="14"/>
        <v xml:space="preserve"> </v>
      </c>
      <c r="Z27" s="83">
        <f>'Grad 1'!Z27</f>
        <v>0</v>
      </c>
      <c r="AA27" s="101">
        <f>IF((Z27-4)&gt;0,Z27-4,0)</f>
        <v>0</v>
      </c>
      <c r="AB27" s="101">
        <f>Z27+4</f>
        <v>4</v>
      </c>
      <c r="AC27" s="81" t="str">
        <f t="shared" si="12"/>
        <v>No</v>
      </c>
      <c r="AD27" s="100">
        <f t="shared" si="15"/>
        <v>0</v>
      </c>
      <c r="AE27" t="str">
        <f t="shared" si="16"/>
        <v>0-4</v>
      </c>
    </row>
    <row r="28" spans="1:31" ht="21" customHeight="1" thickBot="1">
      <c r="A28" s="33" t="s">
        <v>499</v>
      </c>
      <c r="B28" s="194"/>
      <c r="C28" s="29"/>
      <c r="D28" s="36" t="s">
        <v>27</v>
      </c>
      <c r="E28" s="29"/>
      <c r="F28" s="29"/>
      <c r="G28" s="189">
        <f t="shared" si="25"/>
        <v>0.1</v>
      </c>
      <c r="H28" s="189">
        <f t="shared" si="24"/>
        <v>0</v>
      </c>
      <c r="I28" s="190">
        <f t="shared" si="17"/>
        <v>0</v>
      </c>
      <c r="J28" s="55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67</v>
      </c>
      <c r="U28" s="86">
        <f>U27-($U$25-$U$30)/5</f>
        <v>0</v>
      </c>
      <c r="V28" s="86">
        <f>V27-($V$25-$V$30)/5</f>
        <v>0</v>
      </c>
      <c r="W28" s="83">
        <f>'Grad 5'!I47</f>
        <v>0</v>
      </c>
      <c r="X28" s="84" t="str">
        <f t="shared" si="13"/>
        <v xml:space="preserve"> </v>
      </c>
      <c r="Y28" s="519" t="str">
        <f t="shared" si="14"/>
        <v xml:space="preserve"> </v>
      </c>
      <c r="Z28" s="83">
        <f>'Grad 1'!Z28</f>
        <v>0</v>
      </c>
      <c r="AA28" s="101">
        <f>IF((Z28-3)&gt;0,Z28-3,0)</f>
        <v>0</v>
      </c>
      <c r="AB28" s="101">
        <f>Z28+3</f>
        <v>3</v>
      </c>
      <c r="AC28" s="81" t="str">
        <f t="shared" si="12"/>
        <v>No</v>
      </c>
      <c r="AD28" s="100">
        <f t="shared" si="15"/>
        <v>0</v>
      </c>
      <c r="AE28" t="str">
        <f t="shared" si="16"/>
        <v>0-3</v>
      </c>
    </row>
    <row r="29" spans="1:31" ht="21" customHeight="1" thickBot="1">
      <c r="A29" s="33" t="s">
        <v>39</v>
      </c>
      <c r="B29" s="187"/>
      <c r="C29" s="29"/>
      <c r="D29" s="192">
        <f>IF(B29="",0,SUM(B22:B29))</f>
        <v>0</v>
      </c>
      <c r="E29" s="29"/>
      <c r="F29" s="29"/>
      <c r="G29" s="189">
        <f t="shared" si="25"/>
        <v>0.1</v>
      </c>
      <c r="H29" s="37"/>
      <c r="I29" s="37"/>
      <c r="J29" s="555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68</v>
      </c>
      <c r="U29" s="86">
        <f>U28-($U$25-$U$30)/5</f>
        <v>0</v>
      </c>
      <c r="V29" s="86">
        <f>V28-($V$25-$V$30)/5</f>
        <v>0</v>
      </c>
      <c r="W29" s="83">
        <f>'Grad 5'!I48</f>
        <v>0</v>
      </c>
      <c r="X29" s="84" t="str">
        <f t="shared" si="13"/>
        <v xml:space="preserve"> </v>
      </c>
      <c r="Y29" s="519" t="str">
        <f t="shared" si="14"/>
        <v xml:space="preserve"> </v>
      </c>
      <c r="Z29" s="83">
        <f>'Grad 1'!Z29</f>
        <v>0</v>
      </c>
      <c r="AA29" s="101">
        <f>IF((Z29-2)&gt;0,Z29-2,0)</f>
        <v>0</v>
      </c>
      <c r="AB29" s="101">
        <f>Z29+2</f>
        <v>2</v>
      </c>
      <c r="AC29" s="81" t="str">
        <f t="shared" si="12"/>
        <v>No</v>
      </c>
      <c r="AD29" s="100">
        <f t="shared" si="15"/>
        <v>0</v>
      </c>
      <c r="AE29" t="str">
        <f t="shared" si="16"/>
        <v>0-2</v>
      </c>
    </row>
    <row r="30" spans="1:31" ht="21" customHeight="1">
      <c r="A30" s="509" t="s">
        <v>500</v>
      </c>
      <c r="B30" s="195"/>
      <c r="C30" s="37" t="s">
        <v>37</v>
      </c>
      <c r="D30" s="29"/>
      <c r="E30" s="29"/>
      <c r="F30" s="29"/>
      <c r="G30" s="189">
        <f>SUM(G22:G29)</f>
        <v>0.79999999999999993</v>
      </c>
      <c r="H30" s="191"/>
      <c r="I30" s="191"/>
      <c r="J30" s="555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5'!$I$14</f>
        <v>0</v>
      </c>
      <c r="V30" s="83">
        <f>'Grad 5'!$I$31</f>
        <v>0</v>
      </c>
      <c r="W30" s="83">
        <f>'Grad 5'!I49</f>
        <v>0</v>
      </c>
      <c r="X30" s="84" t="str">
        <f t="shared" si="13"/>
        <v xml:space="preserve"> </v>
      </c>
      <c r="Y30" s="519" t="str">
        <f t="shared" si="14"/>
        <v xml:space="preserve"> </v>
      </c>
      <c r="Z30" s="83">
        <f>'Grad 1'!Z30</f>
        <v>2</v>
      </c>
      <c r="AA30" s="101">
        <v>0</v>
      </c>
      <c r="AB30" s="83">
        <f>Z30</f>
        <v>2</v>
      </c>
      <c r="AC30" s="81" t="str">
        <f t="shared" si="12"/>
        <v>No</v>
      </c>
      <c r="AD30" s="100">
        <f t="shared" si="15"/>
        <v>0</v>
      </c>
      <c r="AE30" t="str">
        <f t="shared" si="16"/>
        <v>0-2</v>
      </c>
    </row>
    <row r="31" spans="1:31" ht="21" customHeight="1" thickBot="1">
      <c r="A31" s="510" t="s">
        <v>501</v>
      </c>
      <c r="B31" s="196"/>
      <c r="C31" s="37" t="s">
        <v>38</v>
      </c>
      <c r="D31" s="29"/>
      <c r="E31" s="29"/>
      <c r="F31" s="29"/>
      <c r="G31" s="191"/>
      <c r="H31" s="38" t="s">
        <v>17</v>
      </c>
      <c r="I31" s="188">
        <f>ROUND(IF(B34=0,0,SUM(B34/B30)*100),1)</f>
        <v>0</v>
      </c>
      <c r="J31" s="554" t="str">
        <f>IF('Proj Info'!B52=" "," ",'Proj Info'!B52)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7"/>
      <c r="U31" s="91"/>
      <c r="V31" s="91"/>
      <c r="W31" s="91"/>
      <c r="X31" s="89"/>
      <c r="Y31" s="89"/>
      <c r="Z31" s="95"/>
      <c r="AA31" s="91"/>
      <c r="AB31" s="91"/>
      <c r="AC31" s="76"/>
      <c r="AD31" s="100">
        <f>+SUM(AD19:AD30)</f>
        <v>0</v>
      </c>
      <c r="AE31" t="str">
        <f>IF(AD31=12,"Y","N")</f>
        <v>N</v>
      </c>
    </row>
    <row r="32" spans="1:31" ht="21" customHeight="1" thickTop="1">
      <c r="A32" s="33" t="s">
        <v>39</v>
      </c>
      <c r="B32" s="187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129</v>
      </c>
      <c r="Y32" s="166" t="str">
        <f>IF(B4="","",((100-Y19)+(Y19-Y20)+(Y20-Y21)+(Y21-Y22)+(Y22-Y23))/((100-Y19)+(Y19-Y20)+(Y20-Y21)+(Y21-Y22)+(Y22-Y23)+(Y23-Y24)+(Y24-Y25))*100)</f>
        <v/>
      </c>
    </row>
    <row r="33" spans="1:25" ht="21" customHeight="1">
      <c r="A33" s="33" t="s">
        <v>41</v>
      </c>
      <c r="B33" s="188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130</v>
      </c>
      <c r="Y33" s="166" t="str">
        <f>IF(Y25="","",Y25)</f>
        <v xml:space="preserve"> </v>
      </c>
    </row>
    <row r="34" spans="1:25" ht="21" customHeight="1">
      <c r="A34" s="33" t="s">
        <v>43</v>
      </c>
      <c r="B34" s="197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502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512" t="s">
        <v>503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513" t="s">
        <v>504</v>
      </c>
      <c r="B39" s="187"/>
      <c r="C39" s="569" t="s">
        <v>45</v>
      </c>
      <c r="D39" s="570"/>
      <c r="E39" s="185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513" t="s">
        <v>505</v>
      </c>
      <c r="B40" s="187"/>
      <c r="C40" s="29"/>
      <c r="D40" s="574" t="str">
        <f>IF(E39&lt;5,"",IF(E39&lt;99.5,"Check Weights.",IF(E39&gt;100.5,"Check Weights","")))</f>
        <v/>
      </c>
      <c r="E40" s="575"/>
      <c r="F40" s="29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33" t="s">
        <v>496</v>
      </c>
      <c r="B41" s="187"/>
      <c r="C41" s="29"/>
      <c r="D41" s="34"/>
      <c r="E41" s="29"/>
      <c r="F41" s="29"/>
      <c r="G41" s="188">
        <f t="shared" ref="G41:G47" si="27">IF($M$52=100,$M41,IF($N$52=100,$N41,IF($O$52=100,$O41,IF($P$52=100,$P41,IF($Q$52=100,$Q41,IF($R$52=100,$R41,$R41))))))</f>
        <v>0.1</v>
      </c>
      <c r="H41" s="188">
        <f>IF(D51=0,0,100-G41)</f>
        <v>0</v>
      </c>
      <c r="I41" s="198">
        <f t="shared" ref="I41:I49" si="28">IF(H41&gt;9.9,ROUND(H41,0),ROUND(H41,1))</f>
        <v>0</v>
      </c>
      <c r="J41" s="13"/>
      <c r="K41" s="14"/>
      <c r="L41" s="14"/>
      <c r="M41" s="22">
        <f t="shared" ref="M41:M49" si="29">ROUND(IF(B41="",0,SUM(B41/$B$39)*100),1)</f>
        <v>0</v>
      </c>
      <c r="N41" s="19">
        <f>IF(M41=K42,L42,M41)</f>
        <v>0</v>
      </c>
      <c r="O41" s="23">
        <f t="shared" ref="O41:O50" si="30">IF(N41=K$44,L$44,N41)</f>
        <v>0.1</v>
      </c>
      <c r="P41" s="23">
        <f t="shared" ref="P41:P50" si="31">IF(O41=K$45,L$45,O41)</f>
        <v>0.1</v>
      </c>
      <c r="Q41" s="23">
        <f t="shared" ref="Q41:Q50" si="32">IF(P41=K$46,L$46,P41)</f>
        <v>0.1</v>
      </c>
      <c r="R41" s="23">
        <f>IF(Q41=K$46,L$46,Q41)</f>
        <v>0.1</v>
      </c>
    </row>
    <row r="42" spans="1:25" ht="21" customHeight="1">
      <c r="A42" s="33" t="s">
        <v>497</v>
      </c>
      <c r="B42" s="187"/>
      <c r="C42" s="29"/>
      <c r="D42" s="29"/>
      <c r="E42" s="29"/>
      <c r="F42" s="29"/>
      <c r="G42" s="188">
        <f t="shared" si="27"/>
        <v>0.1</v>
      </c>
      <c r="H42" s="188">
        <f t="shared" ref="H42:H49" si="33">IF(H41=0,0,(H41-G42))</f>
        <v>0</v>
      </c>
      <c r="I42" s="198">
        <f t="shared" si="28"/>
        <v>0</v>
      </c>
      <c r="J42" s="13" t="str">
        <f>IF('Proj Info'!B53=" "," ",'Proj Info'!B53)</f>
        <v/>
      </c>
      <c r="K42" s="14"/>
      <c r="L42" s="14"/>
      <c r="M42" s="22">
        <f t="shared" si="29"/>
        <v>0</v>
      </c>
      <c r="N42" s="19">
        <f>IF(M42=K43,L43,M42)</f>
        <v>0.1</v>
      </c>
      <c r="O42" s="23">
        <f t="shared" si="30"/>
        <v>0.1</v>
      </c>
      <c r="P42" s="23">
        <f t="shared" si="31"/>
        <v>0.1</v>
      </c>
      <c r="Q42" s="23">
        <f t="shared" si="32"/>
        <v>0.1</v>
      </c>
      <c r="R42" s="23">
        <f>IF(Q42=K$46,L$46,Q42)</f>
        <v>0.1</v>
      </c>
    </row>
    <row r="43" spans="1:25" ht="21" customHeight="1">
      <c r="A43" s="33" t="s">
        <v>498</v>
      </c>
      <c r="B43" s="187"/>
      <c r="C43" s="29"/>
      <c r="D43" s="29"/>
      <c r="E43" s="29"/>
      <c r="F43" s="29"/>
      <c r="G43" s="188">
        <f t="shared" si="27"/>
        <v>0.1</v>
      </c>
      <c r="H43" s="188">
        <f t="shared" si="33"/>
        <v>0</v>
      </c>
      <c r="I43" s="198">
        <f t="shared" si="28"/>
        <v>0</v>
      </c>
      <c r="J43" s="13" t="str">
        <f>IF('Proj Info'!B54=" "," ",'Proj Info'!B54)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29"/>
        <v>0</v>
      </c>
      <c r="N43" s="19">
        <f t="shared" ref="N43:N50" si="34">IF(M43=$K$43,$L$43,M43)</f>
        <v>0.1</v>
      </c>
      <c r="O43" s="23">
        <f t="shared" si="30"/>
        <v>0.1</v>
      </c>
      <c r="P43" s="23">
        <f t="shared" si="31"/>
        <v>0.1</v>
      </c>
      <c r="Q43" s="23">
        <f t="shared" si="32"/>
        <v>0.1</v>
      </c>
      <c r="R43" s="23">
        <f t="shared" ref="R43:R50" si="35">IF(Q43=K$47,L$47,Q43)</f>
        <v>0.1</v>
      </c>
    </row>
    <row r="44" spans="1:25" ht="21" customHeight="1">
      <c r="A44" s="33" t="s">
        <v>499</v>
      </c>
      <c r="B44" s="187"/>
      <c r="C44" s="29"/>
      <c r="D44" s="29"/>
      <c r="E44" s="29"/>
      <c r="F44" s="29"/>
      <c r="G44" s="188">
        <f t="shared" si="27"/>
        <v>0.1</v>
      </c>
      <c r="H44" s="188">
        <f t="shared" si="33"/>
        <v>0</v>
      </c>
      <c r="I44" s="198">
        <f t="shared" si="28"/>
        <v>0</v>
      </c>
      <c r="J44" s="13" t="str">
        <f>IF('Proj Info'!B55=" "," ",'Proj Info'!B55)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29"/>
        <v>0</v>
      </c>
      <c r="N44" s="19">
        <f t="shared" si="34"/>
        <v>0.1</v>
      </c>
      <c r="O44" s="23">
        <f t="shared" si="30"/>
        <v>0.1</v>
      </c>
      <c r="P44" s="23">
        <f t="shared" si="31"/>
        <v>0.1</v>
      </c>
      <c r="Q44" s="23">
        <f t="shared" si="32"/>
        <v>0.1</v>
      </c>
      <c r="R44" s="23">
        <f t="shared" si="35"/>
        <v>0.1</v>
      </c>
    </row>
    <row r="45" spans="1:25" ht="21" customHeight="1">
      <c r="A45" s="33" t="s">
        <v>506</v>
      </c>
      <c r="B45" s="187"/>
      <c r="C45" s="29"/>
      <c r="D45" s="29"/>
      <c r="E45" s="29"/>
      <c r="F45" s="29"/>
      <c r="G45" s="188">
        <f t="shared" si="27"/>
        <v>0.1</v>
      </c>
      <c r="H45" s="188">
        <f t="shared" si="33"/>
        <v>0</v>
      </c>
      <c r="I45" s="198">
        <f t="shared" si="28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4"/>
        <v>0.1</v>
      </c>
      <c r="O45" s="23">
        <f t="shared" si="30"/>
        <v>0.1</v>
      </c>
      <c r="P45" s="23">
        <f t="shared" si="31"/>
        <v>0.1</v>
      </c>
      <c r="Q45" s="23">
        <f t="shared" si="32"/>
        <v>0.1</v>
      </c>
      <c r="R45" s="23">
        <f t="shared" si="35"/>
        <v>0.1</v>
      </c>
    </row>
    <row r="46" spans="1:25" ht="21" customHeight="1">
      <c r="A46" s="33" t="s">
        <v>507</v>
      </c>
      <c r="B46" s="187"/>
      <c r="C46" s="29"/>
      <c r="D46" s="29"/>
      <c r="E46" s="29"/>
      <c r="F46" s="29"/>
      <c r="G46" s="188">
        <f t="shared" si="27"/>
        <v>0.1</v>
      </c>
      <c r="H46" s="188">
        <f t="shared" si="33"/>
        <v>0</v>
      </c>
      <c r="I46" s="198">
        <f t="shared" si="28"/>
        <v>0</v>
      </c>
      <c r="J46" s="13" t="str">
        <f>IF('Proj Info'!B56=" "," ",'Proj Info'!B56)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4"/>
        <v>0.1</v>
      </c>
      <c r="O46" s="23">
        <f t="shared" si="30"/>
        <v>0.1</v>
      </c>
      <c r="P46" s="23">
        <f t="shared" si="31"/>
        <v>0.1</v>
      </c>
      <c r="Q46" s="23">
        <f t="shared" si="32"/>
        <v>0.1</v>
      </c>
      <c r="R46" s="23">
        <f t="shared" si="35"/>
        <v>0.1</v>
      </c>
    </row>
    <row r="47" spans="1:25" ht="21" customHeight="1">
      <c r="A47" s="33" t="s">
        <v>508</v>
      </c>
      <c r="B47" s="187"/>
      <c r="C47" s="29"/>
      <c r="D47" s="29"/>
      <c r="E47" s="29"/>
      <c r="F47" s="29"/>
      <c r="G47" s="188">
        <f t="shared" si="27"/>
        <v>0.1</v>
      </c>
      <c r="H47" s="188">
        <f t="shared" si="33"/>
        <v>0</v>
      </c>
      <c r="I47" s="198">
        <f t="shared" si="28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4"/>
        <v>0.1</v>
      </c>
      <c r="O47" s="23">
        <f t="shared" si="30"/>
        <v>0.1</v>
      </c>
      <c r="P47" s="23">
        <f t="shared" si="31"/>
        <v>0.1</v>
      </c>
      <c r="Q47" s="23">
        <f t="shared" si="32"/>
        <v>0.1</v>
      </c>
      <c r="R47" s="23">
        <f t="shared" si="35"/>
        <v>0.1</v>
      </c>
    </row>
    <row r="48" spans="1:25" ht="21" customHeight="1">
      <c r="A48" s="33" t="s">
        <v>509</v>
      </c>
      <c r="B48" s="187"/>
      <c r="C48" s="29"/>
      <c r="D48" s="29"/>
      <c r="E48" s="29"/>
      <c r="F48" s="29"/>
      <c r="G48" s="188">
        <f>IF($M$52=100,$M48,IF($N$52=100,$N48,IF($O$52=100,$O48,IF($P$52=100,$P48,IF($Q$52=100,$Q48,IF($R$52=100,$R48,$R48))))))</f>
        <v>0.1</v>
      </c>
      <c r="H48" s="188">
        <f t="shared" si="33"/>
        <v>0</v>
      </c>
      <c r="I48" s="198">
        <f t="shared" si="28"/>
        <v>0</v>
      </c>
      <c r="J48" s="20"/>
      <c r="K48" s="17"/>
      <c r="L48" s="17"/>
      <c r="M48" s="22">
        <f t="shared" si="29"/>
        <v>0</v>
      </c>
      <c r="N48" s="19">
        <f t="shared" si="34"/>
        <v>0.1</v>
      </c>
      <c r="O48" s="23">
        <f t="shared" si="30"/>
        <v>0.1</v>
      </c>
      <c r="P48" s="23">
        <f t="shared" si="31"/>
        <v>0.1</v>
      </c>
      <c r="Q48" s="23">
        <f t="shared" si="32"/>
        <v>0.1</v>
      </c>
      <c r="R48" s="23">
        <f t="shared" si="35"/>
        <v>0.1</v>
      </c>
    </row>
    <row r="49" spans="1:18" ht="21" customHeight="1">
      <c r="A49" s="33" t="s">
        <v>510</v>
      </c>
      <c r="B49" s="187"/>
      <c r="C49" s="29"/>
      <c r="D49" s="29"/>
      <c r="E49" s="29"/>
      <c r="F49" s="29"/>
      <c r="G49" s="188">
        <f>IF($M$52=100,$M49,IF($N$52=100,$N49,IF($O$52=100,$O49,IF($P$52=100,$P49,IF($Q$52=100,$Q49,IF($R$52=100,$R49,$R49))))))</f>
        <v>0.1</v>
      </c>
      <c r="H49" s="188">
        <f t="shared" si="33"/>
        <v>0</v>
      </c>
      <c r="I49" s="198">
        <f t="shared" si="28"/>
        <v>0</v>
      </c>
      <c r="J49" s="13" t="str">
        <f>IF('Proj Info'!B57=" "," ",'Proj Info'!B57)</f>
        <v/>
      </c>
      <c r="K49" s="17"/>
      <c r="L49" s="17"/>
      <c r="M49" s="22">
        <f t="shared" si="29"/>
        <v>0</v>
      </c>
      <c r="N49" s="19">
        <f t="shared" si="34"/>
        <v>0.1</v>
      </c>
      <c r="O49" s="23">
        <f t="shared" si="30"/>
        <v>0.1</v>
      </c>
      <c r="P49" s="23">
        <f t="shared" si="31"/>
        <v>0.1</v>
      </c>
      <c r="Q49" s="23">
        <f t="shared" si="32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87"/>
      <c r="C50" s="29"/>
      <c r="D50" s="36" t="s">
        <v>27</v>
      </c>
      <c r="E50" s="29"/>
      <c r="F50" s="29"/>
      <c r="G50" s="188">
        <f>IF($M$52=100,$M50,IF($N$52=100,$N50,IF($O$52=100,$O50,IF($P$52=100,$P50,IF($Q$52=100,$Q50,IF($R$52=100,$R50,$R50))))))</f>
        <v>0.1</v>
      </c>
      <c r="H50" s="184"/>
      <c r="I50" s="184"/>
      <c r="J50" s="184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0"/>
        <v>0.1</v>
      </c>
      <c r="P50" s="23">
        <f t="shared" si="31"/>
        <v>0.1</v>
      </c>
      <c r="Q50" s="23">
        <f t="shared" si="32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8">
        <f>IF(B40="",0,SUM(B39-B40))</f>
        <v>0</v>
      </c>
      <c r="C51" s="29"/>
      <c r="D51" s="186">
        <f>IF(B50="",0,SUM(B41:B51))</f>
        <v>0</v>
      </c>
      <c r="E51" s="29"/>
      <c r="F51" s="29"/>
      <c r="G51" s="188">
        <f>IF(G50="",0,SUM(G41:G50))</f>
        <v>0.99999999999999989</v>
      </c>
      <c r="H51" s="184"/>
      <c r="I51" s="184"/>
      <c r="J51" s="184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fFLF+MyPlM0RMHcn5Jd2UYYDFQhJInXhh14QFgR5KiRs+0tBAQhln2R/SGP3ZyrbIUqs/9n2ArABL7sXiUjGLA==" saltValue="p06jzouK7t4hrXS9RjN6fg==" spinCount="100000" sheet="1" objects="1" scenarios="1"/>
  <mergeCells count="6">
    <mergeCell ref="C39:D39"/>
    <mergeCell ref="D40:E40"/>
    <mergeCell ref="C4:D4"/>
    <mergeCell ref="D5:E5"/>
    <mergeCell ref="C21:D21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codeName="Sheet8">
    <pageSetUpPr fitToPage="1"/>
  </sheetPr>
  <dimension ref="A1:AD372"/>
  <sheetViews>
    <sheetView showZeros="0" defaultGridColor="0" view="pageBreakPreview" topLeftCell="A19" colorId="22" zoomScale="50" zoomScaleNormal="60" workbookViewId="0">
      <selection activeCell="O30" sqref="O30"/>
    </sheetView>
  </sheetViews>
  <sheetFormatPr defaultColWidth="9.77734375" defaultRowHeight="15"/>
  <cols>
    <col min="1" max="1" width="18.77734375" style="2" customWidth="1"/>
    <col min="2" max="3" width="12.77734375" style="2" customWidth="1"/>
    <col min="4" max="4" width="17.77734375" style="2" customWidth="1"/>
    <col min="5" max="5" width="11.77734375" style="2" customWidth="1"/>
    <col min="6" max="6" width="13.77734375" style="2" customWidth="1"/>
    <col min="7" max="11" width="11.77734375" style="2" customWidth="1"/>
    <col min="12" max="12" width="14" style="2" customWidth="1"/>
    <col min="13" max="14" width="11.77734375" style="2" customWidth="1"/>
    <col min="15" max="15" width="11.33203125" style="2" customWidth="1"/>
    <col min="16" max="16" width="12.6640625" style="2" customWidth="1"/>
    <col min="17" max="17" width="11.6640625" style="2" customWidth="1"/>
    <col min="18" max="18" width="9.77734375" style="2"/>
    <col min="19" max="19" width="10.77734375" style="2" customWidth="1"/>
    <col min="20" max="20" width="10.5546875" style="2" customWidth="1"/>
    <col min="21" max="21" width="9.5546875" style="2" customWidth="1"/>
    <col min="22" max="22" width="8.6640625" style="2" customWidth="1"/>
    <col min="23" max="23" width="9.77734375" style="2"/>
    <col min="24" max="25" width="11.77734375" style="2" customWidth="1"/>
    <col min="26" max="26" width="12.6640625" style="2" customWidth="1"/>
    <col min="27" max="27" width="6.77734375" style="2" hidden="1" customWidth="1"/>
    <col min="28" max="28" width="7.77734375" style="2" customWidth="1"/>
    <col min="29" max="29" width="9.77734375" style="2"/>
    <col min="30" max="30" width="5.77734375" style="2" customWidth="1"/>
    <col min="31" max="16384" width="9.77734375" style="2"/>
  </cols>
  <sheetData>
    <row r="1" spans="1:30" ht="27" customHeight="1">
      <c r="A1" s="8" t="s">
        <v>137</v>
      </c>
      <c r="F1" s="4"/>
      <c r="G1" s="3"/>
      <c r="H1" s="3"/>
      <c r="I1" s="3"/>
      <c r="J1" s="3"/>
      <c r="K1" s="3"/>
      <c r="L1" s="5"/>
      <c r="M1" s="3"/>
      <c r="N1" s="5"/>
      <c r="O1" s="5"/>
      <c r="P1" s="5"/>
      <c r="Q1" s="5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6"/>
      <c r="AD1" s="7"/>
    </row>
    <row r="2" spans="1:30" ht="27" customHeight="1">
      <c r="A2" s="102" t="s">
        <v>512</v>
      </c>
      <c r="D2" s="8"/>
      <c r="E2" s="102"/>
      <c r="F2" s="4"/>
      <c r="G2" s="3"/>
      <c r="H2" s="3"/>
      <c r="I2" s="3"/>
      <c r="J2" s="3"/>
      <c r="K2" s="3"/>
      <c r="L2" s="5"/>
      <c r="M2" s="3"/>
      <c r="N2" s="5"/>
      <c r="O2" s="5"/>
      <c r="P2" s="5"/>
      <c r="Q2" s="5"/>
      <c r="R2" s="3"/>
      <c r="S2" s="3"/>
      <c r="T2" s="3"/>
      <c r="U2" s="3"/>
      <c r="V2" s="3"/>
      <c r="W2" s="3"/>
      <c r="X2" s="3"/>
      <c r="Y2" s="3"/>
      <c r="Z2" s="4"/>
      <c r="AA2" s="3"/>
      <c r="AB2" s="3"/>
      <c r="AC2" s="6"/>
      <c r="AD2" s="7"/>
    </row>
    <row r="3" spans="1:30" ht="27" customHeight="1">
      <c r="B3" s="103"/>
      <c r="C3" s="103"/>
      <c r="D3" s="8"/>
      <c r="E3" s="102"/>
      <c r="F3" s="4"/>
      <c r="G3" s="3"/>
      <c r="H3" s="3"/>
      <c r="I3" s="3"/>
      <c r="J3" s="3"/>
      <c r="K3" s="3"/>
      <c r="L3" s="5"/>
      <c r="M3" s="3"/>
      <c r="N3" s="5"/>
      <c r="O3" s="5"/>
      <c r="P3" s="5"/>
      <c r="Q3" s="5"/>
      <c r="R3" s="3"/>
      <c r="S3" s="3"/>
      <c r="T3" s="3"/>
      <c r="U3" s="3"/>
      <c r="V3" s="3"/>
      <c r="W3" s="3"/>
      <c r="X3" s="3"/>
      <c r="Y3" s="3"/>
      <c r="Z3" s="4"/>
      <c r="AA3" s="3"/>
      <c r="AB3" s="3"/>
      <c r="AC3" s="6"/>
      <c r="AD3" s="7"/>
    </row>
    <row r="4" spans="1:30" ht="24" customHeight="1">
      <c r="B4" s="103"/>
      <c r="C4" s="103"/>
      <c r="E4" s="598" t="s">
        <v>135</v>
      </c>
      <c r="F4" s="598"/>
      <c r="G4" s="598"/>
      <c r="H4" s="598"/>
      <c r="I4" s="598"/>
      <c r="J4" s="598"/>
      <c r="T4" s="3"/>
      <c r="U4" s="3"/>
      <c r="V4" s="3"/>
      <c r="W4" s="3"/>
      <c r="X4" s="3"/>
      <c r="Y4" s="3"/>
      <c r="Z4" s="4"/>
      <c r="AA4" s="3"/>
      <c r="AB4" s="3"/>
      <c r="AC4" s="6"/>
      <c r="AD4" s="7"/>
    </row>
    <row r="5" spans="1:30" ht="35.1" customHeight="1">
      <c r="A5" s="105"/>
      <c r="H5" s="106"/>
      <c r="I5" s="104"/>
      <c r="J5" s="104"/>
      <c r="K5" s="104"/>
      <c r="L5" s="104"/>
      <c r="M5" s="104"/>
      <c r="N5" s="107" t="s">
        <v>56</v>
      </c>
      <c r="O5" s="108"/>
      <c r="P5" s="109" t="s">
        <v>57</v>
      </c>
      <c r="Q5" s="110"/>
      <c r="Z5" s="106"/>
      <c r="AA5" s="6"/>
      <c r="AC5" s="6"/>
      <c r="AD5" s="7"/>
    </row>
    <row r="6" spans="1:30" ht="35.1" customHeight="1">
      <c r="A6" s="133" t="s">
        <v>18</v>
      </c>
      <c r="B6" s="172" t="str">
        <f>IF('Proj Info'!B4="","",'Proj Info'!B4)</f>
        <v/>
      </c>
      <c r="C6" s="173"/>
      <c r="D6" s="173"/>
      <c r="E6" s="134"/>
      <c r="F6" s="133" t="s">
        <v>19</v>
      </c>
      <c r="G6" s="172" t="str">
        <f>IF('Proj Info'!B11="","",('Proj Info'!B11))</f>
        <v/>
      </c>
      <c r="H6" s="173"/>
      <c r="I6" s="135"/>
      <c r="J6" s="134"/>
      <c r="K6" s="133" t="s">
        <v>20</v>
      </c>
      <c r="L6" s="175" t="str">
        <f>IF('Proj Info'!B1="","",('Proj Info'!B1))</f>
        <v/>
      </c>
      <c r="M6" s="135"/>
      <c r="N6" s="113" t="s">
        <v>25</v>
      </c>
      <c r="O6" s="114" t="str">
        <f>IF('Proj Info'!$B$14=" "," ",'Proj Info'!$B$14)</f>
        <v xml:space="preserve"> </v>
      </c>
      <c r="P6" s="115" t="s">
        <v>26</v>
      </c>
      <c r="Q6" s="113" t="str">
        <f>IF('Proj Info'!$B$16=" "," ",'Proj Info'!$B$16)</f>
        <v xml:space="preserve"> </v>
      </c>
      <c r="Z6" s="106"/>
      <c r="AA6" s="8"/>
      <c r="AC6" s="6"/>
      <c r="AD6" s="7"/>
    </row>
    <row r="7" spans="1:30" ht="35.1" customHeight="1">
      <c r="B7" s="172" t="str">
        <f>IF('Proj Info'!B5="","",'Proj Info'!B5)</f>
        <v/>
      </c>
      <c r="C7" s="177"/>
      <c r="D7" s="177"/>
      <c r="E7" s="134"/>
      <c r="F7" s="133" t="s">
        <v>22</v>
      </c>
      <c r="G7" s="172" t="str">
        <f>IF('Proj Info'!B12="","",('Proj Info'!B12))</f>
        <v/>
      </c>
      <c r="H7" s="172"/>
      <c r="I7" s="135"/>
      <c r="J7" s="134"/>
      <c r="K7" s="133" t="s">
        <v>23</v>
      </c>
      <c r="L7" s="176" t="str">
        <f>IF('Proj Info'!B2="","",('Proj Info'!B2))</f>
        <v/>
      </c>
      <c r="M7" s="135"/>
      <c r="N7" s="116" t="s">
        <v>52</v>
      </c>
      <c r="O7" s="114" t="str">
        <f>IF('Proj Info'!$B$15=" "," ",'Proj Info'!$B$15)</f>
        <v xml:space="preserve"> </v>
      </c>
      <c r="P7" s="117" t="s">
        <v>53</v>
      </c>
      <c r="Q7" s="113" t="str">
        <f>IF('Proj Info'!$B$17=" "," ",'Proj Info'!$B$17)</f>
        <v xml:space="preserve"> </v>
      </c>
      <c r="Z7" s="106"/>
      <c r="AA7" s="8"/>
      <c r="AC7" s="6"/>
      <c r="AD7" s="7"/>
    </row>
    <row r="8" spans="1:30" ht="35.1" customHeight="1">
      <c r="B8" s="172" t="str">
        <f>IF('Proj Info'!B6="","",'Proj Info'!B6)</f>
        <v/>
      </c>
      <c r="C8" s="177"/>
      <c r="D8" s="177"/>
      <c r="E8" s="135"/>
      <c r="F8" s="207" t="s">
        <v>143</v>
      </c>
      <c r="G8" s="172" t="str">
        <f>IF('Proj Info'!B8="","",('Proj Info'!B8))</f>
        <v/>
      </c>
      <c r="H8" s="174"/>
      <c r="I8" s="135"/>
      <c r="J8" s="134"/>
      <c r="K8" s="133" t="s">
        <v>24</v>
      </c>
      <c r="L8" s="176" t="str">
        <f>IF('Proj Info'!B3="","",('Proj Info'!B3))</f>
        <v/>
      </c>
      <c r="M8" s="135"/>
      <c r="N8" s="106"/>
      <c r="O8" s="106"/>
      <c r="P8" s="118" t="s">
        <v>54</v>
      </c>
      <c r="Q8" s="113" t="str">
        <f>IF('Proj Info'!$B$18=" "," ",'Proj Info'!$B$18)</f>
        <v xml:space="preserve"> </v>
      </c>
      <c r="Z8" s="106"/>
      <c r="AA8" s="8"/>
      <c r="AC8" s="6"/>
      <c r="AD8" s="7"/>
    </row>
    <row r="9" spans="1:30" ht="35.1" customHeight="1">
      <c r="B9" s="172" t="str">
        <f>IF('Proj Info'!B7="","",'Proj Info'!B7)</f>
        <v/>
      </c>
      <c r="C9" s="177"/>
      <c r="D9" s="177"/>
      <c r="E9" s="135"/>
      <c r="F9" s="135"/>
      <c r="G9" s="135"/>
      <c r="H9" s="136"/>
      <c r="I9" s="135"/>
      <c r="J9" s="135"/>
      <c r="K9" s="133" t="s">
        <v>94</v>
      </c>
      <c r="L9" s="602" t="str">
        <f>IF('Proj Info'!B13="","",('Proj Info'!B13))</f>
        <v/>
      </c>
      <c r="M9" s="603"/>
      <c r="N9" s="183"/>
      <c r="O9" s="112"/>
      <c r="P9" s="117" t="s">
        <v>55</v>
      </c>
      <c r="Q9" s="113" t="str">
        <f>IF('Proj Info'!$B$19=" "," ",'Proj Info'!$B$19)</f>
        <v xml:space="preserve"> </v>
      </c>
      <c r="Z9" s="106"/>
      <c r="AA9" s="8"/>
      <c r="AC9" s="6"/>
      <c r="AD9" s="7"/>
    </row>
    <row r="10" spans="1:30" ht="35.1" customHeight="1">
      <c r="A10" s="133" t="s">
        <v>93</v>
      </c>
      <c r="B10" s="172" t="str">
        <f>IF('Proj Info'!B10="","",('Proj Info'!B10))</f>
        <v/>
      </c>
      <c r="C10" s="173"/>
      <c r="D10" s="173"/>
      <c r="E10"/>
      <c r="F10" s="133" t="s">
        <v>21</v>
      </c>
      <c r="G10" s="172" t="str">
        <f>IF('Proj Info'!B9="","",('Proj Info'!B9))</f>
        <v/>
      </c>
      <c r="H10" s="173"/>
      <c r="I10" s="173"/>
      <c r="J10" s="112"/>
      <c r="K10" s="111"/>
      <c r="L10" s="119"/>
      <c r="M10" s="105"/>
      <c r="N10" s="106"/>
      <c r="O10" s="112"/>
      <c r="P10" s="111"/>
      <c r="Q10" s="104"/>
      <c r="R10" s="104"/>
      <c r="S10" s="104"/>
      <c r="T10" s="104"/>
      <c r="U10" s="112"/>
      <c r="V10" s="112"/>
      <c r="W10" s="112"/>
      <c r="X10" s="120"/>
      <c r="Y10" s="594"/>
      <c r="Z10" s="594"/>
      <c r="AA10" s="8"/>
      <c r="AB10" s="8"/>
      <c r="AC10" s="6"/>
      <c r="AD10" s="7"/>
    </row>
    <row r="11" spans="1:30" ht="35.1" customHeight="1">
      <c r="B11"/>
      <c r="C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 s="2" t="e">
        <f>IF(#REF!="","",#REF!)</f>
        <v>#REF!</v>
      </c>
      <c r="AB11" s="6"/>
      <c r="AC11" s="6"/>
      <c r="AD11" s="7"/>
    </row>
    <row r="12" spans="1:30" ht="35.1" customHeight="1">
      <c r="A12" s="595" t="s">
        <v>118</v>
      </c>
      <c r="B12" s="596"/>
      <c r="C12" s="596"/>
      <c r="D12" s="596"/>
      <c r="E12" s="596"/>
      <c r="F12" s="597"/>
      <c r="G12" s="168" t="s">
        <v>58</v>
      </c>
      <c r="H12" s="168" t="s">
        <v>59</v>
      </c>
      <c r="I12" s="168" t="s">
        <v>60</v>
      </c>
      <c r="J12" s="168" t="s">
        <v>61</v>
      </c>
      <c r="K12" s="168" t="s">
        <v>62</v>
      </c>
      <c r="L12" s="168" t="s">
        <v>63</v>
      </c>
      <c r="M12" s="168" t="s">
        <v>64</v>
      </c>
      <c r="N12" s="168" t="s">
        <v>17</v>
      </c>
      <c r="O12" s="145"/>
      <c r="P12" s="145"/>
      <c r="Q12" s="145"/>
      <c r="R12" s="135"/>
      <c r="S12"/>
      <c r="T12"/>
      <c r="U12"/>
      <c r="V12"/>
      <c r="W12"/>
      <c r="X12"/>
      <c r="Y12"/>
      <c r="Z12"/>
      <c r="AA12" s="2" t="e">
        <f>IF(#REF!="","",#REF!)</f>
        <v>#REF!</v>
      </c>
    </row>
    <row r="13" spans="1:30" ht="35.1" customHeight="1">
      <c r="D13" s="134"/>
      <c r="E13" s="138" t="s">
        <v>142</v>
      </c>
      <c r="F13" s="203" t="str">
        <f>IF('Proj Info'!$B$30=" "," ",'Proj Info'!$B$30)</f>
        <v xml:space="preserve"> </v>
      </c>
      <c r="G13" s="125" t="s">
        <v>100</v>
      </c>
      <c r="H13" s="125" t="s">
        <v>103</v>
      </c>
      <c r="I13" s="125" t="s">
        <v>101</v>
      </c>
      <c r="J13" s="125" t="s">
        <v>102</v>
      </c>
      <c r="K13" s="125" t="s">
        <v>104</v>
      </c>
      <c r="L13" s="125" t="s">
        <v>105</v>
      </c>
      <c r="M13" s="125" t="s">
        <v>106</v>
      </c>
      <c r="N13" s="125" t="s">
        <v>107</v>
      </c>
      <c r="O13" s="169" t="s">
        <v>50</v>
      </c>
      <c r="P13" s="134"/>
      <c r="Q13" s="135"/>
      <c r="R13" s="135"/>
      <c r="S13"/>
      <c r="T13"/>
      <c r="U13"/>
      <c r="V13"/>
      <c r="W13"/>
      <c r="X13"/>
      <c r="Y13"/>
      <c r="Z13"/>
    </row>
    <row r="14" spans="1:30" ht="35.1" customHeight="1">
      <c r="A14" s="502" t="s">
        <v>140</v>
      </c>
      <c r="B14" s="501" t="s">
        <v>141</v>
      </c>
      <c r="C14" s="144" t="s">
        <v>120</v>
      </c>
      <c r="D14" s="204" t="s">
        <v>112</v>
      </c>
      <c r="E14" s="579" t="s">
        <v>113</v>
      </c>
      <c r="F14" s="580"/>
      <c r="G14" s="144" t="str">
        <f>IF('Proj Info'!$B$39=" "," ",'Proj Info'!$B$39)</f>
        <v/>
      </c>
      <c r="H14" s="144" t="str">
        <f>IF('Proj Info'!$B$40=" "," ",'Proj Info'!$B$40)</f>
        <v/>
      </c>
      <c r="I14" s="144" t="str">
        <f>IF('Proj Info'!$B$41=" "," ",'Proj Info'!$B$41)</f>
        <v/>
      </c>
      <c r="J14" s="144" t="str">
        <f>IF('Proj Info'!$B$42=" "," ",'Proj Info'!$B$42)</f>
        <v/>
      </c>
      <c r="K14" s="144" t="str">
        <f>IF('Proj Info'!$B$43=" "," ",'Proj Info'!$B$43)</f>
        <v/>
      </c>
      <c r="L14" s="146" t="str">
        <f>IF('Proj Info'!$B$44=" "," ",'Proj Info'!$B$44)</f>
        <v/>
      </c>
      <c r="M14" s="144" t="str">
        <f>IF('Proj Info'!$B$45=" "," ",'Proj Info'!$B$45)</f>
        <v/>
      </c>
      <c r="N14" s="144" t="str">
        <f>IF('Proj Info'!$B$46=" "," ",'Proj Info'!$B$46)</f>
        <v>0-2.5</v>
      </c>
      <c r="O14" s="170" t="s">
        <v>51</v>
      </c>
      <c r="P14" s="134"/>
      <c r="Q14" s="135"/>
      <c r="R14" s="135"/>
      <c r="S14"/>
      <c r="T14"/>
      <c r="U14"/>
      <c r="V14"/>
      <c r="W14"/>
      <c r="X14"/>
      <c r="Y14"/>
      <c r="Z14"/>
    </row>
    <row r="15" spans="1:30" ht="35.1" customHeight="1">
      <c r="A15" s="503" t="str">
        <f>IF('Proj Info'!$B28="","",('Proj Info'!$B28))</f>
        <v/>
      </c>
      <c r="B15" s="203" t="str">
        <f>IF('Proj Info'!$B29="","",('Proj Info'!$B29))</f>
        <v/>
      </c>
      <c r="C15" s="178" t="str">
        <f>IF('Proj Info'!$B$8="","",IF(OR('Proj Info'!$B$8="QMC",'Proj Info'!$B$8="BR",'Proj Info'!$B$8="HPC-D"),'QMC Mix'!E4))</f>
        <v/>
      </c>
      <c r="D15" s="514" t="str">
        <f>IF('Grad 1'!$B$1="","",'Grad 1'!$B$1)</f>
        <v/>
      </c>
      <c r="E15" s="576" t="str">
        <f>IF('Grad 1'!$B$3=" "," ",'Grad 1'!$B$3)</f>
        <v xml:space="preserve"> </v>
      </c>
      <c r="F15" s="577"/>
      <c r="G15" s="143" t="str">
        <f>IF('Grad 1'!$I$5=" "," ",'Grad 1'!$I$5)</f>
        <v xml:space="preserve"> </v>
      </c>
      <c r="H15" s="143" t="str">
        <f>IF('Grad 1'!$I$6=" "," ",'Grad 1'!$I$6)</f>
        <v xml:space="preserve"> </v>
      </c>
      <c r="I15" s="143" t="str">
        <f>IF('Grad 1'!$I$7=" "," ",'Grad 1'!$I$7)</f>
        <v xml:space="preserve"> </v>
      </c>
      <c r="J15" s="143" t="str">
        <f>IF('Grad 1'!$I$8=" "," ",'Grad 1'!$I$8)</f>
        <v xml:space="preserve"> </v>
      </c>
      <c r="K15" s="143" t="str">
        <f>IF('Grad 1'!$I$9=" "," ",'Grad 1'!$I$9)</f>
        <v xml:space="preserve"> </v>
      </c>
      <c r="L15" s="143" t="str">
        <f>IF('Grad 1'!$I$10=" "," ",'Grad 1'!$I$10)</f>
        <v xml:space="preserve"> </v>
      </c>
      <c r="M15" s="143" t="str">
        <f>IF('Grad 1'!$I$11=" "," ",'Grad 1'!$I$11)</f>
        <v xml:space="preserve"> </v>
      </c>
      <c r="N15" s="143" t="str">
        <f>IF('Grad 1'!$I$14=" "," ",'Grad 1'!$I$14)</f>
        <v xml:space="preserve"> </v>
      </c>
      <c r="O15" s="144" t="str">
        <f>IF('Grad 1'!$B$18=" "," ",'Grad 1'!$B$18)</f>
        <v xml:space="preserve"> </v>
      </c>
      <c r="P15" s="134"/>
      <c r="Q15" s="135"/>
      <c r="R15" s="135"/>
      <c r="S15"/>
      <c r="T15"/>
      <c r="U15"/>
      <c r="V15"/>
      <c r="W15"/>
      <c r="X15"/>
      <c r="Y15"/>
      <c r="Z15"/>
      <c r="AA15" s="6"/>
      <c r="AB15" s="6"/>
      <c r="AC15" s="6"/>
      <c r="AD15" s="7"/>
    </row>
    <row r="16" spans="1:30" ht="35.1" customHeight="1">
      <c r="A16" s="502" t="str">
        <f>IF('QMC Mix'!B11="","",'QMC Mix'!B11)</f>
        <v/>
      </c>
      <c r="B16" s="144" t="str">
        <f>IF('QMC Mix'!C11="","",'QMC Mix'!C11)</f>
        <v/>
      </c>
      <c r="C16" s="178" t="str">
        <f>IF('Proj Info'!$B$8="","",IF(OR('Proj Info'!$B$8="QMC",'Proj Info'!$B$8="BR",'Proj Info'!$B$8="HPC-D"),'QMC Mix'!E11))</f>
        <v/>
      </c>
      <c r="D16" s="514" t="str">
        <f>IF('Grad 2'!$B$1="","",'Grad 2'!$B$1)</f>
        <v/>
      </c>
      <c r="E16" s="578" t="str">
        <f>IF('Grad 2'!$B$3=" "," ",'Grad 2'!$B$3)</f>
        <v xml:space="preserve"> </v>
      </c>
      <c r="F16" s="577"/>
      <c r="G16" s="143" t="str">
        <f>IF('Grad 2'!$I$5=" "," ",'Grad 2'!$I$5)</f>
        <v xml:space="preserve"> </v>
      </c>
      <c r="H16" s="143" t="str">
        <f>IF('Grad 2'!$I$6=" "," ",'Grad 2'!$I$6)</f>
        <v xml:space="preserve"> </v>
      </c>
      <c r="I16" s="143" t="str">
        <f>IF('Grad 2'!$I$7=" "," ",'Grad 2'!$I$7)</f>
        <v xml:space="preserve"> </v>
      </c>
      <c r="J16" s="143" t="str">
        <f>IF('Grad 2'!$I$8=" "," ",'Grad 2'!$I$8)</f>
        <v xml:space="preserve"> </v>
      </c>
      <c r="K16" s="143" t="str">
        <f>IF('Grad 2'!$I$9=" "," ",'Grad 2'!$I$9)</f>
        <v xml:space="preserve"> </v>
      </c>
      <c r="L16" s="143" t="str">
        <f>IF('Grad 2'!$I$10=" "," ",'Grad 2'!$I$10)</f>
        <v xml:space="preserve"> </v>
      </c>
      <c r="M16" s="143" t="str">
        <f>IF('Grad 2'!$I$11=" "," ",'Grad 2'!$I$11)</f>
        <v xml:space="preserve"> </v>
      </c>
      <c r="N16" s="143" t="str">
        <f>IF('Grad 2'!$I$14=" "," ",'Grad 2'!$I$14)</f>
        <v xml:space="preserve"> </v>
      </c>
      <c r="O16" s="144" t="str">
        <f>IF('Grad 2'!$B$18=" "," ",'Grad 2'!$B$18)</f>
        <v xml:space="preserve"> </v>
      </c>
      <c r="P16" s="134"/>
      <c r="Q16" s="135"/>
      <c r="R16" s="135"/>
      <c r="S16"/>
      <c r="T16"/>
      <c r="U16"/>
      <c r="V16"/>
      <c r="W16"/>
      <c r="X16"/>
      <c r="Y16"/>
      <c r="Z16"/>
      <c r="AA16" s="6"/>
      <c r="AB16" s="6"/>
      <c r="AC16" s="7"/>
      <c r="AD16" s="7"/>
    </row>
    <row r="17" spans="1:30" ht="35.1" customHeight="1">
      <c r="A17" s="502" t="str">
        <f>IF('QMC Mix'!B18="","",'QMC Mix'!B18)</f>
        <v/>
      </c>
      <c r="B17" s="144" t="str">
        <f>IF('QMC Mix'!C18="","",'QMC Mix'!C18)</f>
        <v/>
      </c>
      <c r="C17" s="178" t="str">
        <f>IF('Proj Info'!$B$8="","",IF(OR('Proj Info'!$B$8="QMC",'Proj Info'!$B$8="BR",'Proj Info'!$B$8="HPC-D"),'QMC Mix'!E18))</f>
        <v/>
      </c>
      <c r="D17" s="514" t="str">
        <f>IF('Grad 3'!$B$1="","",'Grad 3'!$B$1)</f>
        <v/>
      </c>
      <c r="E17" s="578" t="str">
        <f>IF('Grad 3'!$B$3=" "," ",'Grad 3'!$B$3)</f>
        <v xml:space="preserve"> </v>
      </c>
      <c r="F17" s="577"/>
      <c r="G17" s="143" t="str">
        <f>IF('Grad 3'!$I$5=" "," ",'Grad 3'!$I$5)</f>
        <v xml:space="preserve"> </v>
      </c>
      <c r="H17" s="143" t="str">
        <f>IF('Grad 3'!$I$6=" "," ",'Grad 3'!$I$6)</f>
        <v xml:space="preserve"> </v>
      </c>
      <c r="I17" s="143" t="str">
        <f>IF('Grad 3'!$I$7=" "," ",'Grad 3'!$I$7)</f>
        <v xml:space="preserve"> </v>
      </c>
      <c r="J17" s="143" t="str">
        <f>IF('Grad 3'!$I$8=" "," ",'Grad 3'!$I$8)</f>
        <v xml:space="preserve"> </v>
      </c>
      <c r="K17" s="143" t="str">
        <f>IF('Grad 3'!$I$9=" "," ",'Grad 3'!$I$9)</f>
        <v xml:space="preserve"> </v>
      </c>
      <c r="L17" s="143" t="str">
        <f>IF('Grad 3'!$I$10=" "," ",'Grad 3'!$I$10)</f>
        <v xml:space="preserve"> </v>
      </c>
      <c r="M17" s="143" t="str">
        <f>IF('Grad 3'!$I$11=" "," ",'Grad 3'!$I$11)</f>
        <v xml:space="preserve"> </v>
      </c>
      <c r="N17" s="143" t="str">
        <f>IF('Grad 3'!$I$14=" "," ",'Grad 3'!$I$14)</f>
        <v xml:space="preserve"> </v>
      </c>
      <c r="O17" s="144" t="str">
        <f>IF('Grad 3'!$B$18=" "," ",'Grad 3'!$B$18)</f>
        <v xml:space="preserve"> </v>
      </c>
      <c r="P17" s="134"/>
      <c r="Q17" s="135"/>
      <c r="R17" s="135"/>
      <c r="S17"/>
      <c r="T17"/>
      <c r="U17"/>
      <c r="V17"/>
      <c r="W17"/>
      <c r="X17"/>
      <c r="Y17"/>
      <c r="Z17"/>
      <c r="AA17" s="6"/>
      <c r="AB17" s="6"/>
      <c r="AC17" s="6"/>
      <c r="AD17" s="7"/>
    </row>
    <row r="18" spans="1:30" ht="35.1" customHeight="1">
      <c r="A18" s="502" t="str">
        <f>IF('QMC Mix'!B25="","",'QMC Mix'!B25)</f>
        <v/>
      </c>
      <c r="B18" s="144" t="str">
        <f>IF('QMC Mix'!C25="","",'QMC Mix'!C25)</f>
        <v/>
      </c>
      <c r="C18" s="178" t="str">
        <f>IF('Proj Info'!$B$8="","",IF(OR('Proj Info'!$B$8="QMC",'Proj Info'!$B$8="BR",'Proj Info'!$B$8="HPC-D"),'QMC Mix'!E25))</f>
        <v/>
      </c>
      <c r="D18" s="514" t="str">
        <f>IF('Grad 4'!$B$1="","",'Grad 4'!$B$1)</f>
        <v/>
      </c>
      <c r="E18" s="578" t="str">
        <f>IF('Grad 4'!$B$3=" "," ",'Grad 4'!$B$3)</f>
        <v xml:space="preserve"> </v>
      </c>
      <c r="F18" s="577"/>
      <c r="G18" s="143" t="str">
        <f>IF('Grad 4'!$I$5=" "," ",'Grad 4'!$I$5)</f>
        <v xml:space="preserve"> </v>
      </c>
      <c r="H18" s="143" t="str">
        <f>IF('Grad 4'!$I$6=" "," ",'Grad 4'!$I$6)</f>
        <v xml:space="preserve"> </v>
      </c>
      <c r="I18" s="143" t="str">
        <f>IF('Grad 4'!$I$7=" "," ",'Grad 4'!$I$7)</f>
        <v xml:space="preserve"> </v>
      </c>
      <c r="J18" s="143" t="str">
        <f>IF('Grad 4'!$I$8=" "," ",'Grad 4'!$I$8)</f>
        <v xml:space="preserve"> </v>
      </c>
      <c r="K18" s="143" t="str">
        <f>IF('Grad 4'!$I$9=" "," ",'Grad 4'!$I$9)</f>
        <v xml:space="preserve"> </v>
      </c>
      <c r="L18" s="143" t="str">
        <f>IF('Grad 4'!$I$10=" "," ",'Grad 4'!$I$10)</f>
        <v xml:space="preserve"> </v>
      </c>
      <c r="M18" s="143" t="str">
        <f>IF('Grad 4'!$I$11=" "," ",'Grad 4'!$I$11)</f>
        <v xml:space="preserve"> </v>
      </c>
      <c r="N18" s="143" t="str">
        <f>IF('Grad 4'!$I$14=" "," ",'Grad 4'!$I$14)</f>
        <v xml:space="preserve"> </v>
      </c>
      <c r="O18" s="144" t="str">
        <f>IF('Grad 4'!$B$18=" "," ",'Grad 4'!$B$18)</f>
        <v xml:space="preserve"> </v>
      </c>
      <c r="P18" s="134"/>
      <c r="Q18" s="135"/>
      <c r="R18" s="135"/>
      <c r="S18"/>
      <c r="T18"/>
      <c r="U18"/>
      <c r="V18"/>
      <c r="W18"/>
      <c r="X18"/>
      <c r="Y18"/>
      <c r="Z18"/>
      <c r="AA18" s="6"/>
      <c r="AB18" s="6"/>
      <c r="AC18" s="6"/>
      <c r="AD18" s="7"/>
    </row>
    <row r="19" spans="1:30" ht="35.1" customHeight="1">
      <c r="A19" s="502" t="str">
        <f>IF('QMC Mix'!B32="","",'QMC Mix'!B32)</f>
        <v/>
      </c>
      <c r="B19" s="144" t="str">
        <f>IF('QMC Mix'!C32="","",'QMC Mix'!C32)</f>
        <v/>
      </c>
      <c r="C19" s="178" t="str">
        <f>IF('Proj Info'!$B$8="","",IF(OR('Proj Info'!$B$8="QMC",'Proj Info'!$B$8="BR",'Proj Info'!$B$8="HPC-D"),'QMC Mix'!E32))</f>
        <v/>
      </c>
      <c r="D19" s="514" t="str">
        <f>IF('Grad 5'!$B$1="","",'Grad 5'!$B$1)</f>
        <v/>
      </c>
      <c r="E19" s="578" t="str">
        <f>IF('Grad 5'!$B$3=" "," ",'Grad 5'!$B$3)</f>
        <v xml:space="preserve"> </v>
      </c>
      <c r="F19" s="577"/>
      <c r="G19" s="143" t="str">
        <f>IF('Grad 5'!$I$5=" "," ",'Grad 5'!$I$5)</f>
        <v xml:space="preserve"> </v>
      </c>
      <c r="H19" s="143" t="str">
        <f>IF('Grad 5'!$I$6=" "," ",'Grad 5'!$I$6)</f>
        <v xml:space="preserve"> </v>
      </c>
      <c r="I19" s="143" t="str">
        <f>IF('Grad 5'!$I$7=" "," ",'Grad 5'!$I$7)</f>
        <v xml:space="preserve"> </v>
      </c>
      <c r="J19" s="143" t="str">
        <f>IF('Grad 5'!$I$8=" "," ",'Grad 5'!$I$8)</f>
        <v xml:space="preserve"> </v>
      </c>
      <c r="K19" s="143" t="str">
        <f>IF('Grad 5'!$I$9=" "," ",'Grad 5'!$I$9)</f>
        <v xml:space="preserve"> </v>
      </c>
      <c r="L19" s="143" t="str">
        <f>IF('Grad 5'!$I$10=" "," ",'Grad 5'!$I$10)</f>
        <v xml:space="preserve"> </v>
      </c>
      <c r="M19" s="143" t="str">
        <f>IF('Grad 5'!$I$11=" "," ",'Grad 5'!$I$11)</f>
        <v xml:space="preserve"> </v>
      </c>
      <c r="N19" s="143" t="str">
        <f>IF('Grad 5'!$I$14=" "," ",'Grad 5'!$I$14)</f>
        <v xml:space="preserve"> </v>
      </c>
      <c r="O19" s="144" t="str">
        <f>IF('Grad 5'!$B$18=" "," ",'Grad 5'!$B$18)</f>
        <v xml:space="preserve"> </v>
      </c>
      <c r="P19" s="134"/>
      <c r="Q19" s="135"/>
      <c r="R19" s="135"/>
      <c r="S19"/>
      <c r="T19"/>
      <c r="U19"/>
      <c r="V19"/>
      <c r="W19"/>
      <c r="X19"/>
      <c r="Y19"/>
      <c r="Z19"/>
      <c r="AA19" s="6"/>
      <c r="AB19" s="6"/>
      <c r="AC19" s="6"/>
      <c r="AD19" s="7"/>
    </row>
    <row r="20" spans="1:30" ht="35.1" customHeight="1">
      <c r="B20" s="135"/>
      <c r="C20" s="135"/>
      <c r="D20" s="149"/>
      <c r="E20" s="149"/>
      <c r="F20" s="150"/>
      <c r="G20" s="151"/>
      <c r="H20" s="151"/>
      <c r="I20" s="151"/>
      <c r="J20" s="151"/>
      <c r="K20" s="151"/>
      <c r="L20" s="151"/>
      <c r="M20" s="151"/>
      <c r="N20" s="151"/>
      <c r="O20" s="148"/>
      <c r="P20" s="134"/>
      <c r="Q20" s="135"/>
      <c r="R20" s="135"/>
      <c r="S20"/>
      <c r="T20"/>
      <c r="U20"/>
      <c r="V20"/>
      <c r="W20"/>
      <c r="X20"/>
      <c r="Y20"/>
      <c r="Z20"/>
      <c r="AA20" s="6"/>
      <c r="AB20" s="6"/>
      <c r="AC20" s="6"/>
      <c r="AD20" s="7"/>
    </row>
    <row r="21" spans="1:30" customFormat="1" ht="35.1" customHeight="1"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</row>
    <row r="22" spans="1:30" ht="35.1" customHeight="1">
      <c r="A22" s="601" t="s">
        <v>117</v>
      </c>
      <c r="B22" s="600"/>
      <c r="C22" s="600"/>
      <c r="D22" s="600"/>
      <c r="E22" s="600"/>
      <c r="F22" s="577"/>
      <c r="G22" s="168" t="s">
        <v>58</v>
      </c>
      <c r="H22" s="168" t="s">
        <v>59</v>
      </c>
      <c r="I22" s="168" t="s">
        <v>60</v>
      </c>
      <c r="J22" s="168" t="s">
        <v>61</v>
      </c>
      <c r="K22" s="168" t="s">
        <v>62</v>
      </c>
      <c r="L22" s="168" t="s">
        <v>63</v>
      </c>
      <c r="M22" s="168" t="s">
        <v>64</v>
      </c>
      <c r="N22" s="168" t="s">
        <v>17</v>
      </c>
      <c r="O22" s="137"/>
      <c r="P22" s="134"/>
      <c r="Q22" s="135"/>
      <c r="R22" s="135"/>
      <c r="S22"/>
      <c r="T22"/>
      <c r="U22"/>
      <c r="V22"/>
      <c r="W22"/>
      <c r="X22"/>
      <c r="Y22"/>
      <c r="Z22"/>
      <c r="AA22" s="6"/>
      <c r="AB22" s="6"/>
      <c r="AC22" s="6"/>
      <c r="AD22" s="7"/>
    </row>
    <row r="23" spans="1:30" ht="35.1" customHeight="1">
      <c r="G23" s="125" t="s">
        <v>100</v>
      </c>
      <c r="H23" s="125" t="s">
        <v>103</v>
      </c>
      <c r="I23" s="125" t="s">
        <v>101</v>
      </c>
      <c r="J23" s="125" t="s">
        <v>102</v>
      </c>
      <c r="K23" s="125" t="s">
        <v>104</v>
      </c>
      <c r="L23" s="125" t="s">
        <v>105</v>
      </c>
      <c r="M23" s="125" t="s">
        <v>106</v>
      </c>
      <c r="N23" s="125" t="s">
        <v>107</v>
      </c>
      <c r="O23" s="169" t="s">
        <v>50</v>
      </c>
      <c r="P23" s="134"/>
      <c r="Q23" s="135"/>
      <c r="R23" s="135"/>
      <c r="S23"/>
      <c r="T23"/>
      <c r="U23"/>
      <c r="V23"/>
      <c r="W23"/>
      <c r="X23"/>
      <c r="Y23"/>
      <c r="Z23"/>
      <c r="AA23" s="6"/>
      <c r="AB23" s="6"/>
      <c r="AC23" s="6"/>
      <c r="AD23" s="7"/>
    </row>
    <row r="24" spans="1:30" ht="35.1" customHeight="1">
      <c r="A24" s="502" t="s">
        <v>140</v>
      </c>
      <c r="B24" s="501" t="s">
        <v>141</v>
      </c>
      <c r="C24" s="144" t="s">
        <v>120</v>
      </c>
      <c r="D24" s="204" t="s">
        <v>112</v>
      </c>
      <c r="E24" s="579" t="s">
        <v>113</v>
      </c>
      <c r="F24" s="580"/>
      <c r="G24" s="179"/>
      <c r="H24" s="179"/>
      <c r="I24" s="179"/>
      <c r="J24" s="179"/>
      <c r="K24" s="179"/>
      <c r="L24" s="179"/>
      <c r="M24" s="179"/>
      <c r="N24" s="179"/>
      <c r="O24" s="170" t="s">
        <v>51</v>
      </c>
      <c r="P24" s="134"/>
      <c r="Q24" s="135"/>
      <c r="R24" s="135"/>
      <c r="S24"/>
      <c r="T24"/>
      <c r="U24"/>
      <c r="V24"/>
      <c r="W24"/>
      <c r="X24"/>
      <c r="Y24"/>
      <c r="Z24"/>
      <c r="AA24" s="6"/>
      <c r="AB24" s="6"/>
      <c r="AC24" s="6"/>
      <c r="AD24" s="7"/>
    </row>
    <row r="25" spans="1:30" ht="35.1" customHeight="1">
      <c r="A25" s="503" t="str">
        <f>IF('Proj Info'!$B31="","",('Proj Info'!$B31))</f>
        <v/>
      </c>
      <c r="B25" s="203" t="str">
        <f>IF('Proj Info'!$B32="","",('Proj Info'!$B32))</f>
        <v/>
      </c>
      <c r="C25" s="178" t="str">
        <f>IF('Proj Info'!$B$8="","",IF(OR('Proj Info'!$B$8="QMC",'Proj Info'!$B$8="BR",'Proj Info'!$B$8="HPC-D"),'QMC Mix'!E5))</f>
        <v/>
      </c>
      <c r="D25" s="514" t="str">
        <f>IF('Grad 1'!$B$1="","",'Grad 1'!$B$1)</f>
        <v/>
      </c>
      <c r="E25" s="578" t="str">
        <f>IF('Grad 1'!$B$20=" "," ",'Grad 1'!$B$20)</f>
        <v xml:space="preserve"> </v>
      </c>
      <c r="F25" s="577"/>
      <c r="G25" s="143" t="str">
        <f>IF('Grad 1'!$I$22=" "," ",'Grad 1'!$I$22)</f>
        <v xml:space="preserve"> </v>
      </c>
      <c r="H25" s="143" t="str">
        <f>IF('Grad 1'!$I$23=" "," ",'Grad 1'!$I$23)</f>
        <v xml:space="preserve"> </v>
      </c>
      <c r="I25" s="143" t="str">
        <f>IF('Grad 1'!$I$24=" "," ",'Grad 1'!$I$24)</f>
        <v xml:space="preserve"> </v>
      </c>
      <c r="J25" s="143" t="str">
        <f>IF('Grad 1'!$I$25=" "," ",'Grad 1'!$I$25)</f>
        <v xml:space="preserve"> </v>
      </c>
      <c r="K25" s="143" t="str">
        <f>IF('Grad 1'!$I$26=" "," ",'Grad 1'!$I$26)</f>
        <v xml:space="preserve"> </v>
      </c>
      <c r="L25" s="143" t="str">
        <f>IF('Grad 1'!$I$27=" "," ",'Grad 1'!$I$27)</f>
        <v xml:space="preserve"> </v>
      </c>
      <c r="M25" s="143" t="str">
        <f>IF('Grad 1'!$I$28=" "," ",'Grad 1'!$I$28)</f>
        <v xml:space="preserve"> </v>
      </c>
      <c r="N25" s="143" t="str">
        <f>IF('Grad 1'!$I$31=" "," ",'Grad 1'!$I$31)</f>
        <v xml:space="preserve"> </v>
      </c>
      <c r="O25" s="556" t="str">
        <f>IF('Grad 1'!$B$35=" "," ",'Grad 1'!$B$35)</f>
        <v xml:space="preserve"> </v>
      </c>
      <c r="P25" s="134"/>
      <c r="Q25" s="135"/>
      <c r="R25" s="135"/>
      <c r="S25"/>
      <c r="T25"/>
      <c r="U25"/>
      <c r="V25"/>
      <c r="W25"/>
      <c r="X25"/>
      <c r="Y25"/>
      <c r="Z25"/>
      <c r="AA25" s="6"/>
      <c r="AB25" s="6"/>
      <c r="AC25" s="6"/>
      <c r="AD25" s="7"/>
    </row>
    <row r="26" spans="1:30" ht="35.1" customHeight="1">
      <c r="A26" s="502" t="str">
        <f>IF('QMC Mix'!B12="","",'QMC Mix'!B12)</f>
        <v/>
      </c>
      <c r="B26" s="144" t="str">
        <f>IF('QMC Mix'!C12="","",'QMC Mix'!C12)</f>
        <v/>
      </c>
      <c r="C26" s="178" t="str">
        <f>IF('Proj Info'!$B$8="","",IF(OR('Proj Info'!$B$8="QMC",'Proj Info'!$B$8="BR",'Proj Info'!$B$8="HPC-D"),'QMC Mix'!E12))</f>
        <v/>
      </c>
      <c r="D26" s="514" t="str">
        <f>IF('Grad 2'!$B$1="","",'Grad 2'!$B$1)</f>
        <v/>
      </c>
      <c r="E26" s="578" t="str">
        <f>IF('Grad 2'!$B$20=" "," ",'Grad 2'!$B$20)</f>
        <v xml:space="preserve"> </v>
      </c>
      <c r="F26" s="577"/>
      <c r="G26" s="143" t="str">
        <f>IF('Grad 2'!$I$22=" "," ",'Grad 2'!$I$22)</f>
        <v xml:space="preserve"> </v>
      </c>
      <c r="H26" s="143" t="str">
        <f>IF('Grad 2'!$I$23=" "," ",'Grad 2'!$I$23)</f>
        <v xml:space="preserve"> </v>
      </c>
      <c r="I26" s="143" t="str">
        <f>IF('Grad 2'!$I$24=" "," ",'Grad 2'!$I$24)</f>
        <v xml:space="preserve"> </v>
      </c>
      <c r="J26" s="143" t="str">
        <f>IF('Grad 2'!$I$25=" "," ",'Grad 2'!$I$25)</f>
        <v xml:space="preserve"> </v>
      </c>
      <c r="K26" s="143" t="str">
        <f>IF('Grad 2'!$I$26=" "," ",'Grad 2'!$I$26)</f>
        <v xml:space="preserve"> </v>
      </c>
      <c r="L26" s="143" t="str">
        <f>IF('Grad 2'!$I$27=" "," ",'Grad 2'!$I$27)</f>
        <v xml:space="preserve"> </v>
      </c>
      <c r="M26" s="143" t="str">
        <f>IF('Grad 2'!$I$28=" "," ",'Grad 2'!$I$28)</f>
        <v xml:space="preserve"> </v>
      </c>
      <c r="N26" s="143" t="str">
        <f>IF('Grad 2'!$I$31=" "," ",'Grad 2'!$I$31)</f>
        <v xml:space="preserve"> </v>
      </c>
      <c r="O26" s="556" t="str">
        <f>IF('Grad 2'!$B$35=" "," ",'Grad 2'!$B$35)</f>
        <v xml:space="preserve"> </v>
      </c>
      <c r="P26" s="152"/>
      <c r="Q26" s="135"/>
      <c r="R26" s="135"/>
      <c r="S26"/>
      <c r="T26"/>
      <c r="U26"/>
      <c r="V26"/>
      <c r="W26"/>
      <c r="X26"/>
      <c r="Y26"/>
      <c r="Z26"/>
      <c r="AA26" s="6"/>
      <c r="AB26" s="6"/>
      <c r="AC26" s="6"/>
      <c r="AD26" s="7"/>
    </row>
    <row r="27" spans="1:30" ht="35.1" customHeight="1">
      <c r="A27" s="502" t="str">
        <f>IF('QMC Mix'!B19="","",'QMC Mix'!B19)</f>
        <v/>
      </c>
      <c r="B27" s="144" t="str">
        <f>IF('QMC Mix'!C19="","",'QMC Mix'!C19)</f>
        <v/>
      </c>
      <c r="C27" s="178" t="str">
        <f>IF('Proj Info'!$B$8="","",IF(OR('Proj Info'!$B$8="QMC",'Proj Info'!$B$8="BR",'Proj Info'!$B$8="HPC-D"),'QMC Mix'!E19))</f>
        <v/>
      </c>
      <c r="D27" s="514" t="str">
        <f>IF('Grad 3'!$B$1="","",'Grad 3'!$B$1)</f>
        <v/>
      </c>
      <c r="E27" s="578" t="str">
        <f>IF('Grad 3'!$B$20=" "," ",'Grad 3'!$B$20)</f>
        <v xml:space="preserve"> </v>
      </c>
      <c r="F27" s="577"/>
      <c r="G27" s="143" t="str">
        <f>IF('Grad 3'!$I$22=" "," ",'Grad 3'!$I$22)</f>
        <v xml:space="preserve"> </v>
      </c>
      <c r="H27" s="143" t="str">
        <f>IF('Grad 3'!$I$23=" "," ",'Grad 3'!$I$23)</f>
        <v xml:space="preserve"> </v>
      </c>
      <c r="I27" s="143" t="str">
        <f>IF('Grad 3'!$I$24=" "," ",'Grad 3'!$I$24)</f>
        <v xml:space="preserve"> </v>
      </c>
      <c r="J27" s="143" t="str">
        <f>IF('Grad 3'!$I$25=" "," ",'Grad 3'!$I$25)</f>
        <v xml:space="preserve"> </v>
      </c>
      <c r="K27" s="143" t="str">
        <f>IF('Grad 3'!$I$26=" "," ",'Grad 3'!$I$26)</f>
        <v xml:space="preserve"> </v>
      </c>
      <c r="L27" s="143" t="str">
        <f>IF('Grad 3'!$I$27=" "," ",'Grad 3'!$I$27)</f>
        <v xml:space="preserve"> </v>
      </c>
      <c r="M27" s="143" t="str">
        <f>IF('Grad 3'!$I$28=" "," ",'Grad 3'!$I$28)</f>
        <v xml:space="preserve"> </v>
      </c>
      <c r="N27" s="143" t="str">
        <f>IF('Grad 3'!$I$31=" "," ",'Grad 3'!$I$31)</f>
        <v xml:space="preserve"> </v>
      </c>
      <c r="O27" s="556" t="str">
        <f>IF('Grad 3'!$B$35=" "," ",'Grad 3'!$B$35)</f>
        <v xml:space="preserve"> </v>
      </c>
      <c r="P27" s="152"/>
      <c r="Q27" s="135"/>
      <c r="R27" s="135"/>
      <c r="S27"/>
      <c r="T27"/>
      <c r="U27"/>
      <c r="V27"/>
      <c r="W27"/>
      <c r="X27"/>
      <c r="Y27"/>
      <c r="Z27"/>
      <c r="AB27" s="6"/>
      <c r="AC27" s="6"/>
      <c r="AD27" s="7"/>
    </row>
    <row r="28" spans="1:30" ht="35.1" customHeight="1">
      <c r="A28" s="502" t="str">
        <f>IF('QMC Mix'!B26="","",'QMC Mix'!B26)</f>
        <v/>
      </c>
      <c r="B28" s="144" t="str">
        <f>IF('QMC Mix'!C26="","",'QMC Mix'!C26)</f>
        <v/>
      </c>
      <c r="C28" s="178" t="str">
        <f>IF('Proj Info'!$B$8="","",IF(OR('Proj Info'!$B$8="QMC",'Proj Info'!$B$8="BR",'Proj Info'!$B$8="HPC-D"),'QMC Mix'!E26))</f>
        <v/>
      </c>
      <c r="D28" s="514" t="str">
        <f>IF('Grad 4'!$B$1="","",'Grad 4'!$B$1)</f>
        <v/>
      </c>
      <c r="E28" s="578" t="str">
        <f>IF('Grad 4'!$B$20=" "," ",'Grad 4'!$B$20)</f>
        <v xml:space="preserve"> </v>
      </c>
      <c r="F28" s="577"/>
      <c r="G28" s="143" t="str">
        <f>IF('Grad 4'!$I$22=" "," ",'Grad 4'!$I$22)</f>
        <v xml:space="preserve"> </v>
      </c>
      <c r="H28" s="143" t="str">
        <f>IF('Grad 4'!$I$23=" "," ",'Grad 4'!$I$23)</f>
        <v xml:space="preserve"> </v>
      </c>
      <c r="I28" s="143" t="str">
        <f>IF('Grad 4'!$I$24=" "," ",'Grad 4'!$I$24)</f>
        <v xml:space="preserve"> </v>
      </c>
      <c r="J28" s="143" t="str">
        <f>IF('Grad 4'!$I$25=" "," ",'Grad 4'!$I$25)</f>
        <v xml:space="preserve"> </v>
      </c>
      <c r="K28" s="143" t="str">
        <f>IF('Grad 4'!$I$26=" "," ",'Grad 4'!$I$26)</f>
        <v xml:space="preserve"> </v>
      </c>
      <c r="L28" s="143" t="str">
        <f>IF('Grad 4'!$I$27=" "," ",'Grad 4'!$I$27)</f>
        <v xml:space="preserve"> </v>
      </c>
      <c r="M28" s="143" t="str">
        <f>IF('Grad 4'!$I$28=" "," ",'Grad 4'!$I$28)</f>
        <v xml:space="preserve"> </v>
      </c>
      <c r="N28" s="143" t="str">
        <f>IF('Grad 4'!$I$31=" "," ",'Grad 4'!$I$31)</f>
        <v xml:space="preserve"> </v>
      </c>
      <c r="O28" s="556" t="str">
        <f>IF('Grad 4'!$B$35=" "," ",'Grad 4'!$B$35)</f>
        <v xml:space="preserve"> </v>
      </c>
      <c r="P28" s="152"/>
      <c r="Q28" s="135"/>
      <c r="R28" s="135"/>
      <c r="S28"/>
      <c r="T28"/>
      <c r="U28"/>
      <c r="V28"/>
      <c r="W28"/>
      <c r="X28"/>
      <c r="Y28"/>
      <c r="Z28"/>
      <c r="AB28" s="6"/>
      <c r="AC28" s="6"/>
      <c r="AD28" s="7"/>
    </row>
    <row r="29" spans="1:30" ht="35.1" customHeight="1">
      <c r="A29" s="502" t="str">
        <f>IF('QMC Mix'!B33="","",'QMC Mix'!B33)</f>
        <v/>
      </c>
      <c r="B29" s="144" t="str">
        <f>IF('QMC Mix'!C33="","",'QMC Mix'!C33)</f>
        <v/>
      </c>
      <c r="C29" s="178" t="str">
        <f>IF('Proj Info'!$B$8="","",IF(OR('Proj Info'!$B$8="QMC",'Proj Info'!$B$8="BR",'Proj Info'!$B$8="HPC-D"),'QMC Mix'!E33))</f>
        <v/>
      </c>
      <c r="D29" s="514" t="str">
        <f>IF('Grad 5'!$B$1="","",'Grad 5'!$B$1)</f>
        <v/>
      </c>
      <c r="E29" s="578" t="str">
        <f>IF('Grad 5'!$B$20=" "," ",'Grad 5'!$B$20)</f>
        <v xml:space="preserve"> </v>
      </c>
      <c r="F29" s="577"/>
      <c r="G29" s="143" t="str">
        <f>IF('Grad 5'!$I$22=" "," ",'Grad 5'!$I$22)</f>
        <v xml:space="preserve"> </v>
      </c>
      <c r="H29" s="143" t="str">
        <f>IF('Grad 5'!$I$23=" "," ",'Grad 5'!$I$23)</f>
        <v xml:space="preserve"> </v>
      </c>
      <c r="I29" s="143" t="str">
        <f>IF('Grad 5'!$I$24=" "," ",'Grad 5'!$I$24)</f>
        <v xml:space="preserve"> </v>
      </c>
      <c r="J29" s="143" t="str">
        <f>IF('Grad 5'!$I$25=" "," ",'Grad 5'!$I$25)</f>
        <v xml:space="preserve"> </v>
      </c>
      <c r="K29" s="143" t="str">
        <f>IF('Grad 5'!$I$26=" "," ",'Grad 5'!$I$26)</f>
        <v xml:space="preserve"> </v>
      </c>
      <c r="L29" s="143" t="str">
        <f>IF('Grad 5'!$I$27=" "," ",'Grad 5'!$I$27)</f>
        <v xml:space="preserve"> </v>
      </c>
      <c r="M29" s="143" t="str">
        <f>IF('Grad 5'!$I$28=" "," ",'Grad 5'!$I$28)</f>
        <v xml:space="preserve"> </v>
      </c>
      <c r="N29" s="143" t="str">
        <f>IF('Grad 5'!$I$31=" "," ",'Grad 5'!$I$31)</f>
        <v xml:space="preserve"> </v>
      </c>
      <c r="O29" s="556" t="str">
        <f>IF('Grad 5'!$B$35=" "," ",'Grad 5'!$B$35)</f>
        <v xml:space="preserve"> </v>
      </c>
      <c r="P29" s="152"/>
      <c r="Q29" s="135"/>
      <c r="R29" s="135"/>
      <c r="S29"/>
      <c r="T29"/>
      <c r="U29"/>
      <c r="V29"/>
      <c r="W29"/>
      <c r="X29"/>
      <c r="Y29"/>
      <c r="Z29"/>
      <c r="AB29" s="6"/>
      <c r="AC29" s="6"/>
      <c r="AD29" s="7"/>
    </row>
    <row r="30" spans="1:30" customFormat="1" ht="35.1" customHeight="1">
      <c r="A30" s="139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</row>
    <row r="31" spans="1:30" customFormat="1" ht="35.1" customHeight="1">
      <c r="A31" s="13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</row>
    <row r="32" spans="1:30" ht="35.1" customHeight="1">
      <c r="A32" s="599" t="s">
        <v>116</v>
      </c>
      <c r="B32" s="600"/>
      <c r="C32" s="600"/>
      <c r="D32" s="600"/>
      <c r="E32" s="600"/>
      <c r="F32" s="577"/>
      <c r="G32" s="171" t="s">
        <v>61</v>
      </c>
      <c r="H32" s="171" t="s">
        <v>62</v>
      </c>
      <c r="I32" s="171" t="s">
        <v>63</v>
      </c>
      <c r="J32" s="171" t="s">
        <v>64</v>
      </c>
      <c r="K32" s="171" t="s">
        <v>65</v>
      </c>
      <c r="L32" s="171" t="s">
        <v>66</v>
      </c>
      <c r="M32" s="171" t="s">
        <v>67</v>
      </c>
      <c r="N32" s="171" t="s">
        <v>68</v>
      </c>
      <c r="O32" s="171" t="s">
        <v>17</v>
      </c>
      <c r="P32" s="152"/>
      <c r="Q32" s="134"/>
      <c r="R32" s="135"/>
      <c r="S32"/>
      <c r="T32"/>
      <c r="U32"/>
      <c r="V32"/>
      <c r="W32"/>
      <c r="X32"/>
      <c r="Y32"/>
      <c r="Z32"/>
      <c r="AB32" s="6"/>
      <c r="AC32" s="6"/>
      <c r="AD32" s="7"/>
    </row>
    <row r="33" spans="1:30" ht="35.1" customHeight="1">
      <c r="D33" s="138"/>
      <c r="E33" s="138" t="s">
        <v>142</v>
      </c>
      <c r="F33" s="205" t="str">
        <f>IF('Proj Info'!$B$36=" "," ",'Proj Info'!$B$36)</f>
        <v xml:space="preserve"> </v>
      </c>
      <c r="G33" s="125" t="s">
        <v>102</v>
      </c>
      <c r="H33" s="125" t="s">
        <v>104</v>
      </c>
      <c r="I33" s="125" t="s">
        <v>105</v>
      </c>
      <c r="J33" s="125" t="s">
        <v>106</v>
      </c>
      <c r="K33" s="125" t="s">
        <v>108</v>
      </c>
      <c r="L33" s="158" t="s">
        <v>109</v>
      </c>
      <c r="M33" s="158" t="s">
        <v>110</v>
      </c>
      <c r="N33" s="158" t="s">
        <v>111</v>
      </c>
      <c r="O33" s="125" t="s">
        <v>107</v>
      </c>
      <c r="P33" s="141" t="s">
        <v>50</v>
      </c>
      <c r="Q33" s="134"/>
      <c r="R33" s="135"/>
      <c r="S33"/>
      <c r="T33"/>
      <c r="U33"/>
      <c r="V33"/>
      <c r="W33"/>
      <c r="X33"/>
      <c r="Y33"/>
      <c r="Z33"/>
      <c r="AB33" s="6"/>
      <c r="AC33" s="6"/>
      <c r="AD33" s="7"/>
    </row>
    <row r="34" spans="1:30" ht="35.1" customHeight="1">
      <c r="A34" s="502" t="s">
        <v>140</v>
      </c>
      <c r="B34" s="501" t="s">
        <v>141</v>
      </c>
      <c r="C34" s="144" t="s">
        <v>120</v>
      </c>
      <c r="D34" s="204" t="s">
        <v>112</v>
      </c>
      <c r="E34" s="579" t="s">
        <v>113</v>
      </c>
      <c r="F34" s="580"/>
      <c r="G34" s="142"/>
      <c r="H34" s="144" t="str">
        <f>IF('Proj Info'!$B$53=" "," ",'Proj Info'!$B$53)</f>
        <v/>
      </c>
      <c r="I34" s="144" t="str">
        <f>IF('Proj Info'!$B$54=" "," ",'Proj Info'!$B$54)</f>
        <v/>
      </c>
      <c r="J34" s="144" t="str">
        <f>IF('Proj Info'!$B$55=" "," ",'Proj Info'!$B$55)</f>
        <v/>
      </c>
      <c r="K34" s="146"/>
      <c r="L34" s="144" t="str">
        <f>IF('Proj Info'!$B$56=" "," ",'Proj Info'!$B$56)</f>
        <v/>
      </c>
      <c r="M34" s="146"/>
      <c r="N34" s="146"/>
      <c r="O34" s="144" t="str">
        <f>IF('Proj Info'!$B$57=" "," ",'Proj Info'!$B$57)</f>
        <v/>
      </c>
      <c r="P34" s="147" t="s">
        <v>51</v>
      </c>
      <c r="Q34" s="134"/>
      <c r="R34" s="135"/>
      <c r="S34"/>
      <c r="T34"/>
      <c r="U34"/>
      <c r="V34"/>
      <c r="W34"/>
      <c r="X34"/>
      <c r="Y34"/>
      <c r="Z34"/>
      <c r="AB34" s="6"/>
      <c r="AC34" s="6"/>
      <c r="AD34" s="7"/>
    </row>
    <row r="35" spans="1:30" ht="35.1" customHeight="1">
      <c r="A35" s="503" t="str">
        <f>IF('Proj Info'!$B34="","",('Proj Info'!$B34))</f>
        <v/>
      </c>
      <c r="B35" s="203" t="str">
        <f>IF('Proj Info'!$B35="","",('Proj Info'!$B35))</f>
        <v/>
      </c>
      <c r="C35" s="178" t="str">
        <f>IF('Proj Info'!$B$8="","",IF(OR('Proj Info'!$B$8="QMC",'Proj Info'!$B$8="BR",'Proj Info'!$B$8="HPC-D"),'QMC Mix'!E6))</f>
        <v/>
      </c>
      <c r="D35" s="514" t="str">
        <f>IF('Grad 1'!$B$1="","",'Grad 1'!$B$1)</f>
        <v/>
      </c>
      <c r="E35" s="576" t="str">
        <f>IF('Grad 1'!$B$38=" "," ",'Grad 1'!$B$38)</f>
        <v xml:space="preserve"> </v>
      </c>
      <c r="F35" s="577"/>
      <c r="G35" s="143" t="str">
        <f>IF(H35=100,"",IF('Grad 1'!$I$41=" "," ",'Grad 1'!$I$41))</f>
        <v xml:space="preserve"> </v>
      </c>
      <c r="H35" s="143" t="str">
        <f>IF('Grad 1'!$I$42=" "," ",'Grad 1'!$I$42)</f>
        <v xml:space="preserve"> </v>
      </c>
      <c r="I35" s="143" t="str">
        <f>IF('Grad 1'!$I$43=" "," ",'Grad 1'!$I$43)</f>
        <v xml:space="preserve"> </v>
      </c>
      <c r="J35" s="143" t="str">
        <f>IF('Grad 1'!$I$44=" "," ",'Grad 1'!$I$44)</f>
        <v xml:space="preserve"> </v>
      </c>
      <c r="K35" s="143" t="str">
        <f>IF('Grad 1'!$I$45=" "," ",'Grad 1'!$I$45)</f>
        <v xml:space="preserve"> </v>
      </c>
      <c r="L35" s="143" t="str">
        <f>IF('Grad 1'!$I$46=" "," ",'Grad 1'!$I$46)</f>
        <v xml:space="preserve"> </v>
      </c>
      <c r="M35" s="143" t="str">
        <f>IF('Grad 1'!$I$47=" "," ",'Grad 1'!$I$47)</f>
        <v xml:space="preserve"> </v>
      </c>
      <c r="N35" s="143" t="str">
        <f>IF('Grad 1'!$I$48=" "," ",'Grad 1'!$I$48)</f>
        <v xml:space="preserve"> </v>
      </c>
      <c r="O35" s="143" t="str">
        <f>IF('Grad 1'!$I$49=" "," ",'Grad 1'!$I$49)</f>
        <v xml:space="preserve"> </v>
      </c>
      <c r="P35" s="144" t="str">
        <f>IF('Grad 1'!$B$52=" "," ",'Grad 1'!$B$52)</f>
        <v xml:space="preserve"> </v>
      </c>
      <c r="Q35" s="134"/>
      <c r="R35" s="135"/>
      <c r="S35"/>
      <c r="T35"/>
      <c r="U35"/>
      <c r="V35"/>
      <c r="W35"/>
      <c r="X35"/>
      <c r="Y35"/>
      <c r="Z35"/>
      <c r="AB35" s="6"/>
      <c r="AC35" s="6"/>
      <c r="AD35" s="7"/>
    </row>
    <row r="36" spans="1:30" ht="35.1" customHeight="1">
      <c r="A36" s="502" t="str">
        <f>IF('QMC Mix'!B13="","",'QMC Mix'!B13)</f>
        <v/>
      </c>
      <c r="B36" s="144" t="str">
        <f>IF('QMC Mix'!C13="","",'QMC Mix'!C13)</f>
        <v/>
      </c>
      <c r="C36" s="178" t="str">
        <f>IF('Proj Info'!$B$8="","",IF(OR('Proj Info'!$B$8="QMC",'Proj Info'!$B$8="BR",'Proj Info'!$B$8="HPC-D"),'QMC Mix'!E13))</f>
        <v/>
      </c>
      <c r="D36" s="514" t="str">
        <f>IF('Grad 2'!$B$1="","",'Grad 2'!$B$1)</f>
        <v/>
      </c>
      <c r="E36" s="576" t="str">
        <f>IF('Grad 2'!$B$38=" "," ",'Grad 2'!$B$38)</f>
        <v xml:space="preserve"> </v>
      </c>
      <c r="F36" s="577"/>
      <c r="G36" s="143" t="str">
        <f>IF(H36=100,"",IF('Grad 2'!$I$41=" "," ",'Grad 2'!$I$41))</f>
        <v xml:space="preserve"> </v>
      </c>
      <c r="H36" s="143" t="str">
        <f>IF('Grad 2'!$I$42=" "," ",'Grad 2'!$I$42)</f>
        <v xml:space="preserve"> </v>
      </c>
      <c r="I36" s="143" t="str">
        <f>IF('Grad 2'!$I$43=" "," ",'Grad 2'!$I$43)</f>
        <v xml:space="preserve"> </v>
      </c>
      <c r="J36" s="143" t="str">
        <f>IF('Grad 2'!$I$44=" "," ",'Grad 2'!$I$44)</f>
        <v xml:space="preserve"> </v>
      </c>
      <c r="K36" s="143" t="str">
        <f>IF('Grad 2'!$I$45=" "," ",'Grad 2'!$I$45)</f>
        <v xml:space="preserve"> </v>
      </c>
      <c r="L36" s="143" t="str">
        <f>IF('Grad 2'!$I$46=" "," ",'Grad 2'!$I$46)</f>
        <v xml:space="preserve"> </v>
      </c>
      <c r="M36" s="143" t="str">
        <f>IF('Grad 2'!$I$47=" "," ",'Grad 2'!$I$47)</f>
        <v xml:space="preserve"> </v>
      </c>
      <c r="N36" s="143" t="str">
        <f>IF('Grad 2'!$I$48=" "," ",'Grad 2'!$I$48)</f>
        <v xml:space="preserve"> </v>
      </c>
      <c r="O36" s="143" t="str">
        <f>IF('Grad 2'!$I$49=" "," ",'Grad 2'!$I$49)</f>
        <v xml:space="preserve"> </v>
      </c>
      <c r="P36" s="144" t="str">
        <f>IF('Grad 2'!$B$52=" "," ",'Grad 2'!$B$52)</f>
        <v xml:space="preserve"> </v>
      </c>
      <c r="Q36" s="134"/>
      <c r="R36" s="134"/>
      <c r="S36" s="112"/>
      <c r="T36" s="106"/>
      <c r="U36"/>
      <c r="V36"/>
      <c r="W36"/>
      <c r="X36"/>
      <c r="Y36"/>
      <c r="Z36"/>
      <c r="AB36" s="6"/>
      <c r="AC36" s="6"/>
      <c r="AD36" s="7"/>
    </row>
    <row r="37" spans="1:30" ht="35.1" customHeight="1">
      <c r="A37" s="502" t="str">
        <f>IF('QMC Mix'!B20="","",'QMC Mix'!B20)</f>
        <v/>
      </c>
      <c r="B37" s="144" t="str">
        <f>IF('QMC Mix'!C20="","",'QMC Mix'!C20)</f>
        <v/>
      </c>
      <c r="C37" s="178" t="str">
        <f>IF('Proj Info'!$B$8="","",IF(OR('Proj Info'!$B$8="QMC",'Proj Info'!$B$8="BR",'Proj Info'!$B$8="HPC-D"),'QMC Mix'!E20))</f>
        <v/>
      </c>
      <c r="D37" s="514" t="str">
        <f>IF('Grad 3'!$B$1="","",'Grad 3'!$B$1)</f>
        <v/>
      </c>
      <c r="E37" s="576" t="str">
        <f>IF('Grad 3'!$B$38=" "," ",'Grad 3'!$B$38)</f>
        <v xml:space="preserve"> </v>
      </c>
      <c r="F37" s="577"/>
      <c r="G37" s="153" t="str">
        <f>IF(H37=100,"",IF('Grad 3'!$I$41=" "," ",'Grad 3'!$I$41))</f>
        <v xml:space="preserve"> </v>
      </c>
      <c r="H37" s="153" t="str">
        <f>IF('Grad 3'!$I$42=" "," ",'Grad 3'!$I$42)</f>
        <v xml:space="preserve"> </v>
      </c>
      <c r="I37" s="143" t="str">
        <f>IF('Grad 3'!$I$43=" "," ",'Grad 3'!$I$43)</f>
        <v xml:space="preserve"> </v>
      </c>
      <c r="J37" s="143" t="str">
        <f>IF('Grad 3'!$I$44=" "," ",'Grad 3'!$I$44)</f>
        <v xml:space="preserve"> </v>
      </c>
      <c r="K37" s="143" t="str">
        <f>IF('Grad 3'!$I$45=" "," ",'Grad 3'!$I$45)</f>
        <v xml:space="preserve"> </v>
      </c>
      <c r="L37" s="143" t="str">
        <f>IF('Grad 3'!$I$46=" "," ",'Grad 3'!$I$46)</f>
        <v xml:space="preserve"> </v>
      </c>
      <c r="M37" s="143" t="str">
        <f>IF('Grad 3'!$I$47=" "," ",'Grad 3'!$I$47)</f>
        <v xml:space="preserve"> </v>
      </c>
      <c r="N37" s="143" t="str">
        <f>IF('Grad 3'!$I$48=" "," ",'Grad 3'!$I$48)</f>
        <v xml:space="preserve"> </v>
      </c>
      <c r="O37" s="143" t="str">
        <f>IF('Grad 3'!$I$49=" "," ",'Grad 3'!$I$49)</f>
        <v xml:space="preserve"> </v>
      </c>
      <c r="P37" s="144" t="str">
        <f>IF('Grad 3'!$B$52=" "," ",'Grad 3'!$B$52)</f>
        <v xml:space="preserve"> </v>
      </c>
      <c r="Q37" s="134"/>
      <c r="R37" s="134"/>
      <c r="S37" s="112"/>
      <c r="T37" s="106"/>
      <c r="U37"/>
      <c r="V37"/>
      <c r="W37"/>
      <c r="X37"/>
      <c r="Y37"/>
      <c r="Z37"/>
      <c r="AB37" s="6"/>
      <c r="AC37" s="6"/>
      <c r="AD37" s="7"/>
    </row>
    <row r="38" spans="1:30" ht="35.1" customHeight="1">
      <c r="A38" s="502" t="str">
        <f>IF('QMC Mix'!B27="","",'QMC Mix'!B27)</f>
        <v/>
      </c>
      <c r="B38" s="144" t="str">
        <f>IF('QMC Mix'!C27="","",'QMC Mix'!C27)</f>
        <v/>
      </c>
      <c r="C38" s="178" t="str">
        <f>IF('Proj Info'!$B$8="","",IF(OR('Proj Info'!$B$8="QMC",'Proj Info'!$B$8="BR",'Proj Info'!$B$8="HPC-D"),'QMC Mix'!E27))</f>
        <v/>
      </c>
      <c r="D38" s="514" t="str">
        <f>IF('Grad 4'!$B$1="","",'Grad 4'!$B$1)</f>
        <v/>
      </c>
      <c r="E38" s="576" t="str">
        <f>IF('Grad 4'!$B$38=" "," ",'Grad 4'!$B$38)</f>
        <v xml:space="preserve"> </v>
      </c>
      <c r="F38" s="577"/>
      <c r="G38" s="153" t="str">
        <f>IF(H38=100,"",IF('Grad 4'!$I$41=" "," ",'Grad 4'!$I$41))</f>
        <v xml:space="preserve"> </v>
      </c>
      <c r="H38" s="153" t="str">
        <f>IF('Grad 4'!$I$42=" "," ",'Grad 4'!$I$42)</f>
        <v xml:space="preserve"> </v>
      </c>
      <c r="I38" s="143" t="str">
        <f>IF('Grad 4'!$I$43=" "," ",'Grad 4'!$I$43)</f>
        <v xml:space="preserve"> </v>
      </c>
      <c r="J38" s="143" t="str">
        <f>IF('Grad 4'!$I$44=" "," ",'Grad 4'!$I$44)</f>
        <v xml:space="preserve"> </v>
      </c>
      <c r="K38" s="143" t="str">
        <f>IF('Grad 4'!$I$45=" "," ",'Grad 4'!$I$45)</f>
        <v xml:space="preserve"> </v>
      </c>
      <c r="L38" s="143" t="str">
        <f>IF('Grad 4'!$I$46=" "," ",'Grad 4'!$I$46)</f>
        <v xml:space="preserve"> </v>
      </c>
      <c r="M38" s="143" t="str">
        <f>IF('Grad 4'!$I$47=" "," ",'Grad 4'!$I$47)</f>
        <v xml:space="preserve"> </v>
      </c>
      <c r="N38" s="143" t="str">
        <f>IF('Grad 4'!$I$48=" "," ",'Grad 4'!$I$48)</f>
        <v xml:space="preserve"> </v>
      </c>
      <c r="O38" s="143" t="str">
        <f>IF('Grad 4'!$I$49=" "," ",'Grad 4'!$I$49)</f>
        <v xml:space="preserve"> </v>
      </c>
      <c r="P38" s="144" t="str">
        <f>IF('Grad 4'!$B$52=" "," ",'Grad 4'!$B$52)</f>
        <v xml:space="preserve"> </v>
      </c>
      <c r="Q38" s="134"/>
      <c r="R38" s="134"/>
      <c r="S38" s="112"/>
      <c r="T38" s="106"/>
      <c r="U38"/>
      <c r="V38"/>
      <c r="W38"/>
      <c r="X38"/>
      <c r="Y38"/>
      <c r="Z38"/>
      <c r="AB38" s="6"/>
      <c r="AC38" s="6"/>
      <c r="AD38" s="7"/>
    </row>
    <row r="39" spans="1:30" ht="35.1" customHeight="1">
      <c r="A39" s="502" t="str">
        <f>IF('QMC Mix'!B34="","",'QMC Mix'!B34)</f>
        <v/>
      </c>
      <c r="B39" s="144" t="str">
        <f>IF('QMC Mix'!C34="","",'QMC Mix'!C34)</f>
        <v/>
      </c>
      <c r="C39" s="178" t="str">
        <f>IF('Proj Info'!$B$8="","",IF(OR('Proj Info'!$B$8="QMC",'Proj Info'!$B$8="BR",'Proj Info'!$B$8="HPC-D"),'QMC Mix'!E34))</f>
        <v/>
      </c>
      <c r="D39" s="514" t="str">
        <f>IF('Grad 5'!$B$1="","",'Grad 5'!$B$1)</f>
        <v/>
      </c>
      <c r="E39" s="576" t="str">
        <f>IF('Grad 5'!$B$38=" "," ",'Grad 5'!$B$38)</f>
        <v xml:space="preserve"> </v>
      </c>
      <c r="F39" s="577"/>
      <c r="G39" s="153" t="str">
        <f>IF(H39=100,"",IF('Grad 5'!$I$41=" "," ",'Grad 5'!$I$41))</f>
        <v xml:space="preserve"> </v>
      </c>
      <c r="H39" s="153" t="str">
        <f>IF('Grad 5'!$I$42=" "," ",'Grad 5'!$I$42)</f>
        <v xml:space="preserve"> </v>
      </c>
      <c r="I39" s="143" t="str">
        <f>IF('Grad 5'!$I$43=" "," ",'Grad 5'!$I$43)</f>
        <v xml:space="preserve"> </v>
      </c>
      <c r="J39" s="143" t="str">
        <f>IF('Grad 5'!$I$44=" "," ",'Grad 5'!$I$44)</f>
        <v xml:space="preserve"> </v>
      </c>
      <c r="K39" s="143" t="str">
        <f>IF('Grad 5'!$I$45=" "," ",'Grad 5'!$I$45)</f>
        <v xml:space="preserve"> </v>
      </c>
      <c r="L39" s="143" t="str">
        <f>IF('Grad 5'!$I$46=" "," ",'Grad 5'!$I$46)</f>
        <v xml:space="preserve"> </v>
      </c>
      <c r="M39" s="143" t="str">
        <f>IF('Grad 5'!$I$47=" "," ",'Grad 5'!$I$47)</f>
        <v xml:space="preserve"> </v>
      </c>
      <c r="N39" s="143" t="str">
        <f>IF('Grad 5'!$I$48=" "," ",'Grad 5'!$I$48)</f>
        <v xml:space="preserve"> </v>
      </c>
      <c r="O39" s="143" t="str">
        <f>IF('Grad 5'!$I$49=" "," ",'Grad 5'!$I$49)</f>
        <v xml:space="preserve"> </v>
      </c>
      <c r="P39" s="144" t="str">
        <f>IF('Grad 5'!$B$52=" "," ",'Grad 5'!$B$52)</f>
        <v xml:space="preserve"> </v>
      </c>
      <c r="Q39" s="134"/>
      <c r="R39" s="134"/>
      <c r="S39" s="112"/>
      <c r="T39" s="106"/>
      <c r="U39"/>
      <c r="V39"/>
      <c r="W39"/>
      <c r="X39"/>
      <c r="Y39"/>
      <c r="Z39"/>
      <c r="AB39" s="6"/>
      <c r="AC39" s="6"/>
      <c r="AD39" s="7"/>
    </row>
    <row r="40" spans="1:30" ht="35.1" customHeight="1">
      <c r="B40" s="135"/>
      <c r="C40" s="135"/>
      <c r="D40" s="149"/>
      <c r="E40" s="149"/>
      <c r="F40" s="149"/>
      <c r="G40" s="149"/>
      <c r="H40" s="149"/>
      <c r="I40" s="151"/>
      <c r="J40" s="151"/>
      <c r="K40" s="151"/>
      <c r="L40" s="151"/>
      <c r="M40" s="151"/>
      <c r="N40" s="151"/>
      <c r="O40" s="151"/>
      <c r="P40" s="148"/>
      <c r="Q40" s="134"/>
      <c r="R40" s="134"/>
      <c r="S40" s="112"/>
      <c r="T40" s="106"/>
      <c r="U40"/>
      <c r="V40"/>
      <c r="W40"/>
      <c r="X40"/>
      <c r="Y40"/>
      <c r="Z40"/>
      <c r="AB40" s="6"/>
      <c r="AC40" s="6"/>
      <c r="AD40" s="7"/>
    </row>
    <row r="41" spans="1:30" ht="35.1" customHeight="1">
      <c r="B41" s="135"/>
      <c r="C41" s="135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12"/>
      <c r="T41" s="106"/>
      <c r="U41"/>
      <c r="V41"/>
      <c r="W41"/>
      <c r="X41"/>
      <c r="Y41"/>
      <c r="Z41"/>
      <c r="AB41" s="6"/>
      <c r="AC41" s="6"/>
      <c r="AD41" s="7"/>
    </row>
    <row r="42" spans="1:30" ht="35.1" customHeight="1">
      <c r="A42" s="160" t="s">
        <v>119</v>
      </c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2"/>
      <c r="N42" s="581" t="s">
        <v>121</v>
      </c>
      <c r="O42" s="581" t="s">
        <v>122</v>
      </c>
      <c r="P42" s="581" t="s">
        <v>123</v>
      </c>
      <c r="Q42" s="163"/>
      <c r="R42" s="134"/>
      <c r="S42" s="112"/>
      <c r="T42" s="106"/>
      <c r="U42"/>
      <c r="V42"/>
      <c r="W42"/>
      <c r="X42"/>
      <c r="Y42"/>
      <c r="Z42"/>
      <c r="AB42" s="6"/>
      <c r="AC42" s="6"/>
      <c r="AD42" s="7"/>
    </row>
    <row r="43" spans="1:30" ht="35.1" customHeight="1">
      <c r="A43" s="508" t="s">
        <v>481</v>
      </c>
      <c r="B43" s="508" t="s">
        <v>482</v>
      </c>
      <c r="C43" s="508" t="s">
        <v>483</v>
      </c>
      <c r="D43" s="508" t="s">
        <v>484</v>
      </c>
      <c r="E43" s="508" t="s">
        <v>485</v>
      </c>
      <c r="F43" s="508" t="s">
        <v>486</v>
      </c>
      <c r="G43" s="508" t="s">
        <v>487</v>
      </c>
      <c r="H43" s="508" t="s">
        <v>488</v>
      </c>
      <c r="I43" s="508" t="s">
        <v>489</v>
      </c>
      <c r="J43" s="508" t="s">
        <v>490</v>
      </c>
      <c r="K43" s="508" t="s">
        <v>491</v>
      </c>
      <c r="L43" s="508" t="s">
        <v>492</v>
      </c>
      <c r="M43" s="154" t="s">
        <v>84</v>
      </c>
      <c r="N43" s="589"/>
      <c r="O43" s="582"/>
      <c r="P43" s="582"/>
      <c r="Q43" s="163"/>
      <c r="R43" s="134"/>
      <c r="S43" s="112"/>
      <c r="T43" s="106"/>
      <c r="U43" s="111"/>
      <c r="V43" s="126"/>
      <c r="W43" s="127"/>
      <c r="X43" s="126"/>
      <c r="Y43" s="123"/>
      <c r="Z43" s="123"/>
      <c r="AB43" s="6"/>
      <c r="AC43" s="6"/>
      <c r="AD43" s="7"/>
    </row>
    <row r="44" spans="1:30" ht="35.1" customHeight="1">
      <c r="A44" s="140" t="str">
        <f>IF($G$8="QMC",'Grad 1'!AE19,"  ")</f>
        <v xml:space="preserve">  </v>
      </c>
      <c r="B44" s="140" t="str">
        <f>IF($G$8="QMC",'Grad 1'!AE20,"  ")</f>
        <v xml:space="preserve">  </v>
      </c>
      <c r="C44" s="140" t="str">
        <f>IF($G$8="QMC",'Grad 1'!AE21,"  ")</f>
        <v xml:space="preserve">  </v>
      </c>
      <c r="D44" s="140" t="str">
        <f>IF($G$8="QMC",'Grad 1'!AE22,"  ")</f>
        <v xml:space="preserve">  </v>
      </c>
      <c r="E44" s="140" t="str">
        <f>IF($G$8="QMC",'Grad 1'!AE23,"  ")</f>
        <v xml:space="preserve">  </v>
      </c>
      <c r="F44" s="140" t="str">
        <f>IF($G$8="QMC",'Grad 1'!AE24,"  ")</f>
        <v xml:space="preserve">  </v>
      </c>
      <c r="G44" s="140" t="str">
        <f>IF($G$8="QMC",'Grad 1'!AE25,"  ")</f>
        <v xml:space="preserve">  </v>
      </c>
      <c r="H44" s="140" t="str">
        <f>IF($G$8="QMC",'Grad 1'!AE26,"  ")</f>
        <v xml:space="preserve">  </v>
      </c>
      <c r="I44" s="140" t="str">
        <f>IF($G$8="QMC",'Grad 1'!AE27,"  ")</f>
        <v xml:space="preserve">  </v>
      </c>
      <c r="J44" s="140" t="str">
        <f>IF($G$8="QMC",'Grad 1'!AE28,"  ")</f>
        <v xml:space="preserve">  </v>
      </c>
      <c r="K44" s="140" t="str">
        <f>IF($G$8="QMC",'Grad 1'!AE29,"  ")</f>
        <v xml:space="preserve">  </v>
      </c>
      <c r="L44" s="140" t="str">
        <f>IF($G$8="QMC",'Grad 1'!AE30,"  ")</f>
        <v xml:space="preserve">  </v>
      </c>
      <c r="M44" s="155" t="s">
        <v>81</v>
      </c>
      <c r="N44" s="590"/>
      <c r="O44" s="583"/>
      <c r="P44" s="583"/>
      <c r="Q44" s="163"/>
      <c r="R44" s="135"/>
      <c r="S44" s="104"/>
      <c r="T44"/>
      <c r="U44"/>
      <c r="V44"/>
      <c r="W44"/>
      <c r="X44"/>
      <c r="Y44"/>
      <c r="Z44" s="123"/>
      <c r="AB44" s="6"/>
      <c r="AC44" s="6"/>
      <c r="AD44" s="7"/>
    </row>
    <row r="45" spans="1:30" ht="35.1" customHeight="1">
      <c r="A45" s="143" t="str">
        <f>IF($G$8="BR",'Grad 1'!$Y19,IF($G$8="QMC",'Grad 1'!$Y19,IF($G$8="HPC-D",'Grad 1'!$Y19,"")))</f>
        <v/>
      </c>
      <c r="B45" s="520" t="str">
        <f>IF($G$8="BR",'Grad 1'!$Y20,IF($G$8="QMC",'Grad 1'!$Y20,IF($G$8="HPC-D",'Grad 1'!$Y20,"")))</f>
        <v/>
      </c>
      <c r="C45" s="520" t="str">
        <f>IF($G$8="BR",'Grad 1'!$Y21,IF($G$8="QMC",'Grad 1'!$Y21,IF($G$8="HPC-D",'Grad 1'!$Y21,"")))</f>
        <v/>
      </c>
      <c r="D45" s="520" t="str">
        <f>IF($G$8="BR",'Grad 1'!$Y22,IF($G$8="QMC",'Grad 1'!$Y22,IF($G$8="HPC-D",'Grad 1'!$Y22,"")))</f>
        <v/>
      </c>
      <c r="E45" s="520" t="str">
        <f>IF($G$8="BR",'Grad 1'!$Y23,IF($G$8="QMC",'Grad 1'!$Y23,IF($G$8="HPC-D",'Grad 1'!$Y23,"")))</f>
        <v/>
      </c>
      <c r="F45" s="520" t="str">
        <f>IF($G$8="BR",'Grad 1'!$Y24,IF($G$8="QMC",'Grad 1'!$Y24,IF($G$8="HPC-D",'Grad 1'!$Y24,"")))</f>
        <v/>
      </c>
      <c r="G45" s="520" t="str">
        <f>IF($G$8="BR",'Grad 1'!$Y25,IF($G$8="QMC",'Grad 1'!$Y25,IF($G$8="HPC-D",'Grad 1'!$Y25,"")))</f>
        <v/>
      </c>
      <c r="H45" s="520" t="str">
        <f>IF($G$8="BR",'Grad 1'!$Y26,IF($G$8="QMC",'Grad 1'!$Y26,IF($G$8="HPC-D",'Grad 1'!$Y26,"")))</f>
        <v/>
      </c>
      <c r="I45" s="520" t="str">
        <f>IF($G$8="BR",'Grad 1'!$Y27,IF($G$8="QMC",'Grad 1'!$Y27,IF($G$8="HPC-D",'Grad 1'!$Y27,"")))</f>
        <v/>
      </c>
      <c r="J45" s="520" t="str">
        <f>IF($G$8="BR",'Grad 1'!$Y28,IF($G$8="QMC",'Grad 1'!$Y28,IF($G$8="HPC-D",'Grad 1'!$Y28,"")))</f>
        <v/>
      </c>
      <c r="K45" s="520" t="str">
        <f>IF($G$8="BR",'Grad 1'!$Y29,IF($G$8="QMC",'Grad 1'!$Y29,IF($G$8="HPC-D",'Grad 1'!$Y29,"")))</f>
        <v/>
      </c>
      <c r="L45" s="520" t="str">
        <f>IF($G$8="BR",'Grad 1'!$Y30,IF($G$8="QMC",'Grad 1'!$Y30,IF($G$8="HPC-D",'Grad 1'!$Y30,"")))</f>
        <v/>
      </c>
      <c r="M45" s="155" t="str">
        <f>IF('Grad 1'!Y19="","",IF(G$8="QMC",'Grad 1'!$AE$31," "))</f>
        <v xml:space="preserve"> </v>
      </c>
      <c r="N45" s="521" t="str">
        <f>IF($G$8="BR",'Grad 1'!$Y$32,IF($G$8="QMC",'Grad 1'!$Y$32,IF($G$8="HPC-D",'Grad 1'!$Y$32,"")))</f>
        <v/>
      </c>
      <c r="O45" s="521" t="str">
        <f>IF($G$8="BR",'Grad 1'!$Y$33,IF($G$8="QMC",'Grad 1'!$Y$33,IF($G$8="HPC-D",'Grad 1'!$Y$33,"")))</f>
        <v/>
      </c>
      <c r="P45" s="206"/>
      <c r="R45" s="135"/>
      <c r="S45" s="104"/>
      <c r="T45"/>
      <c r="U45"/>
      <c r="V45"/>
      <c r="W45"/>
      <c r="X45"/>
      <c r="Y45"/>
      <c r="Z45" s="123"/>
      <c r="AB45" s="6"/>
      <c r="AC45" s="6"/>
      <c r="AD45" s="7"/>
    </row>
    <row r="46" spans="1:30" ht="35.1" customHeight="1">
      <c r="A46" s="143" t="str">
        <f>IF($G$8="BR",'Grad 2'!$Y19,IF($G$8="QMC",'Grad 2'!$Y19,IF($G$8="HPC-D",'Grad 2'!$Y19,"")))</f>
        <v/>
      </c>
      <c r="B46" s="520" t="str">
        <f>IF($G$8="BR",'Grad 2'!$Y20,IF($G$8="QMC",'Grad 2'!$Y20,IF($G$8="HPC-D",'Grad 2'!$Y20,"")))</f>
        <v/>
      </c>
      <c r="C46" s="520" t="str">
        <f>IF($G$8="BR",'Grad 2'!$Y21,IF($G$8="QMC",'Grad 2'!$Y21,IF($G$8="HPC-D",'Grad 2'!$Y21,"")))</f>
        <v/>
      </c>
      <c r="D46" s="520" t="str">
        <f>IF($G$8="BR",'Grad 2'!$Y22,IF($G$8="QMC",'Grad 2'!$Y22,IF($G$8="HPC-D",'Grad 2'!$Y22,"")))</f>
        <v/>
      </c>
      <c r="E46" s="520" t="str">
        <f>IF($G$8="BR",'Grad 2'!$Y23,IF($G$8="QMC",'Grad 2'!$Y23,IF($G$8="HPC-D",'Grad 2'!$Y23,"")))</f>
        <v/>
      </c>
      <c r="F46" s="520" t="str">
        <f>IF($G$8="BR",'Grad 2'!$Y24,IF($G$8="QMC",'Grad 2'!$Y24,IF($G$8="HPC-D",'Grad 2'!$Y24,"")))</f>
        <v/>
      </c>
      <c r="G46" s="520" t="str">
        <f>IF($G$8="BR",'Grad 2'!$Y25,IF($G$8="QMC",'Grad 2'!$Y25,IF($G$8="HPC-D",'Grad 2'!$Y25,"")))</f>
        <v/>
      </c>
      <c r="H46" s="520" t="str">
        <f>IF($G$8="BR",'Grad 2'!$Y26,IF($G$8="QMC",'Grad 2'!$Y26,IF($G$8="HPC-D",'Grad 2'!$Y26,"")))</f>
        <v/>
      </c>
      <c r="I46" s="520" t="str">
        <f>IF($G$8="BR",'Grad 2'!$Y27,IF($G$8="QMC",'Grad 2'!$Y27,IF($G$8="HPC-D",'Grad 2'!$Y27,"")))</f>
        <v/>
      </c>
      <c r="J46" s="520" t="str">
        <f>IF($G$8="BR",'Grad 2'!$Y28,IF($G$8="QMC",'Grad 2'!$Y28,IF($G$8="HPC-D",'Grad 2'!$Y28,"")))</f>
        <v/>
      </c>
      <c r="K46" s="520" t="str">
        <f>IF($G$8="BR",'Grad 2'!$Y29,IF($G$8="QMC",'Grad 2'!$Y29,IF($G$8="HPC-D",'Grad 2'!$Y29,"")))</f>
        <v/>
      </c>
      <c r="L46" s="520" t="str">
        <f>IF($G$8="BR",'Grad 2'!$Y30,IF($G$8="QMC",'Grad 2'!$Y30,IF($G$8="HPC-D",'Grad 2'!$Y30,"")))</f>
        <v/>
      </c>
      <c r="M46" s="155" t="str">
        <f>IF('Grad 2'!Y20="","",IF(G$8="QMC",'Grad 2'!$AE$31," "))</f>
        <v xml:space="preserve"> </v>
      </c>
      <c r="N46" s="521" t="str">
        <f>IF($G$8="BR",'Grad 2'!$Y$32,IF($G$8="QMC",'Grad 2'!$Y$32,IF($G$8="HPC-D",'Grad 2'!$Y$32,"")))</f>
        <v/>
      </c>
      <c r="O46" s="521" t="str">
        <f>IF($G$8="BR",'Grad 2'!$Y$33,IF($G$8="QMC",'Grad 2'!$Y$33,IF($G$8="HPC-D",'Grad 2'!$Y$33,"")))</f>
        <v/>
      </c>
      <c r="P46" s="206"/>
      <c r="R46" s="135"/>
      <c r="S46" s="104"/>
      <c r="T46"/>
      <c r="U46"/>
      <c r="V46"/>
      <c r="W46"/>
      <c r="X46"/>
      <c r="Y46"/>
      <c r="Z46" s="123"/>
      <c r="AC46" s="6"/>
      <c r="AD46" s="7"/>
    </row>
    <row r="47" spans="1:30" ht="35.1" customHeight="1">
      <c r="A47" s="143" t="str">
        <f>IF($G$8="BR",'Grad 3'!$Y19,IF($G$8="QMC",'Grad 3'!$Y19,IF($G$8="HPC-D",'Grad 3'!$Y19,"")))</f>
        <v/>
      </c>
      <c r="B47" s="520" t="str">
        <f>IF($G$8="BR",'Grad 3'!$Y20,IF($G$8="QMC",'Grad 3'!$Y20,IF($G$8="HPC-D",'Grad 3'!$Y20,"")))</f>
        <v/>
      </c>
      <c r="C47" s="520" t="str">
        <f>IF($G$8="BR",'Grad 3'!$Y21,IF($G$8="QMC",'Grad 3'!$Y21,IF($G$8="HPC-D",'Grad 3'!$Y21,"")))</f>
        <v/>
      </c>
      <c r="D47" s="520" t="str">
        <f>IF($G$8="BR",'Grad 3'!$Y22,IF($G$8="QMC",'Grad 3'!$Y22,IF($G$8="HPC-D",'Grad 3'!$Y22,"")))</f>
        <v/>
      </c>
      <c r="E47" s="520" t="str">
        <f>IF($G$8="BR",'Grad 3'!$Y23,IF($G$8="QMC",'Grad 3'!$Y23,IF($G$8="HPC-D",'Grad 3'!$Y23,"")))</f>
        <v/>
      </c>
      <c r="F47" s="520" t="str">
        <f>IF($G$8="BR",'Grad 3'!$Y24,IF($G$8="QMC",'Grad 3'!$Y24,IF($G$8="HPC-D",'Grad 3'!$Y24,"")))</f>
        <v/>
      </c>
      <c r="G47" s="520" t="str">
        <f>IF($G$8="BR",'Grad 3'!$Y25,IF($G$8="QMC",'Grad 3'!$Y25,IF($G$8="HPC-D",'Grad 3'!$Y25,"")))</f>
        <v/>
      </c>
      <c r="H47" s="520" t="str">
        <f>IF($G$8="BR",'Grad 3'!$Y26,IF($G$8="QMC",'Grad 3'!$Y26,IF($G$8="HPC-D",'Grad 3'!$Y26,"")))</f>
        <v/>
      </c>
      <c r="I47" s="520" t="str">
        <f>IF($G$8="BR",'Grad 3'!$Y27,IF($G$8="QMC",'Grad 3'!$Y27,IF($G$8="HPC-D",'Grad 3'!$Y27,"")))</f>
        <v/>
      </c>
      <c r="J47" s="520" t="str">
        <f>IF($G$8="BR",'Grad 3'!$Y28,IF($G$8="QMC",'Grad 3'!$Y28,IF($G$8="HPC-D",'Grad 3'!$Y28,"")))</f>
        <v/>
      </c>
      <c r="K47" s="520" t="str">
        <f>IF($G$8="BR",'Grad 3'!$Y29,IF($G$8="QMC",'Grad 3'!$Y29,IF($G$8="HPC-D",'Grad 3'!$Y29,"")))</f>
        <v/>
      </c>
      <c r="L47" s="520" t="str">
        <f>IF($G$8="BR",'Grad 3'!$Y30,IF($G$8="QMC",'Grad 3'!$Y30,IF($G$8="HPC-D",'Grad 3'!$Y30,"")))</f>
        <v/>
      </c>
      <c r="M47" s="155" t="str">
        <f>IF('Grad 3'!Y21="","",IF(G$8="QMC",'Grad 3'!$AE$31," "))</f>
        <v xml:space="preserve"> </v>
      </c>
      <c r="N47" s="521" t="str">
        <f>IF($G$8="BR",'Grad 3'!$Y$32,IF($G$8="QMC",'Grad 3'!$Y$32,IF($G$8="HPC-D",'Grad 3'!$Y$32,"")))</f>
        <v/>
      </c>
      <c r="O47" s="521" t="str">
        <f>IF($G$8="BR",'Grad 3'!$Y$33,IF($G$8="QMC",'Grad 3'!$Y$33,IF($G$8="HPC-D",'Grad 3'!$Y$33,"")))</f>
        <v/>
      </c>
      <c r="P47" s="206"/>
      <c r="R47" s="135"/>
      <c r="S47" s="104"/>
      <c r="T47"/>
      <c r="U47"/>
      <c r="V47"/>
      <c r="W47"/>
      <c r="X47"/>
      <c r="Y47"/>
      <c r="Z47" s="112"/>
      <c r="AC47" s="6"/>
      <c r="AD47" s="7"/>
    </row>
    <row r="48" spans="1:30" ht="35.1" customHeight="1">
      <c r="A48" s="143" t="str">
        <f>IF($G$8="BR",'Grad 4'!$Y19,IF($G$8="QMC",'Grad 4'!$Y19,IF($G$8="HPC-D",'Grad 4'!$Y19,"")))</f>
        <v/>
      </c>
      <c r="B48" s="520" t="str">
        <f>IF($G$8="BR",'Grad 4'!$Y20,IF($G$8="QMC",'Grad 4'!$Y20,IF($G$8="HPC-D",'Grad 4'!$Y20,"")))</f>
        <v/>
      </c>
      <c r="C48" s="520" t="str">
        <f>IF($G$8="BR",'Grad 4'!$Y21,IF($G$8="QMC",'Grad 4'!$Y21,IF($G$8="HPC-D",'Grad 4'!$Y21,"")))</f>
        <v/>
      </c>
      <c r="D48" s="520" t="str">
        <f>IF($G$8="BR",'Grad 4'!$Y22,IF($G$8="QMC",'Grad 4'!$Y22,IF($G$8="HPC-D",'Grad 4'!$Y22,"")))</f>
        <v/>
      </c>
      <c r="E48" s="520" t="str">
        <f>IF($G$8="BR",'Grad 4'!$Y23,IF($G$8="QMC",'Grad 4'!$Y23,IF($G$8="HPC-D",'Grad 4'!$Y23,"")))</f>
        <v/>
      </c>
      <c r="F48" s="520" t="str">
        <f>IF($G$8="BR",'Grad 4'!$Y24,IF($G$8="QMC",'Grad 4'!$Y24,IF($G$8="HPC-D",'Grad 4'!$Y24,"")))</f>
        <v/>
      </c>
      <c r="G48" s="520" t="str">
        <f>IF($G$8="BR",'Grad 4'!$Y25,IF($G$8="QMC",'Grad 4'!$Y25,IF($G$8="HPC-D",'Grad 4'!$Y25,"")))</f>
        <v/>
      </c>
      <c r="H48" s="520" t="str">
        <f>IF($G$8="BR",'Grad 4'!$Y26,IF($G$8="QMC",'Grad 4'!$Y26,IF($G$8="HPC-D",'Grad 4'!$Y26,"")))</f>
        <v/>
      </c>
      <c r="I48" s="520" t="str">
        <f>IF($G$8="BR",'Grad 4'!$Y27,IF($G$8="QMC",'Grad 4'!$Y27,IF($G$8="HPC-D",'Grad 4'!$Y27,"")))</f>
        <v/>
      </c>
      <c r="J48" s="520" t="str">
        <f>IF($G$8="BR",'Grad 4'!$Y28,IF($G$8="QMC",'Grad 4'!$Y28,IF($G$8="HPC-D",'Grad 4'!$Y28,"")))</f>
        <v/>
      </c>
      <c r="K48" s="520" t="str">
        <f>IF($G$8="BR",'Grad 4'!$Y29,IF($G$8="QMC",'Grad 4'!$Y29,IF($G$8="HPC-D",'Grad 4'!$Y29,"")))</f>
        <v/>
      </c>
      <c r="L48" s="520" t="str">
        <f>IF($G$8="BR",'Grad 4'!$Y30,IF($G$8="QMC",'Grad 4'!$Y30,IF($G$8="HPC-D",'Grad 4'!$Y30,"")))</f>
        <v/>
      </c>
      <c r="M48" s="155" t="str">
        <f>IF('Grad 4'!Y22="","",IF(G$8="QMC",'Grad 4'!$AE$31," "))</f>
        <v xml:space="preserve"> </v>
      </c>
      <c r="N48" s="521" t="str">
        <f>IF($G$8="BR",'Grad 4'!$Y$32,IF($G$8="QMC",'Grad 4'!$Y$32,IF($G$8="HPC-D",'Grad 4'!$Y$32,"")))</f>
        <v/>
      </c>
      <c r="O48" s="521" t="str">
        <f>IF($G$8="BR",'Grad 4'!$Y$33,IF($G$8="QMC",'Grad 4'!$Y$33,IF($G$8="HPC-D",'Grad 4'!$Y$33,"")))</f>
        <v/>
      </c>
      <c r="P48" s="167"/>
      <c r="R48" s="135"/>
      <c r="S48" s="104"/>
      <c r="T48"/>
      <c r="U48"/>
      <c r="V48"/>
      <c r="W48"/>
      <c r="X48"/>
      <c r="Y48"/>
      <c r="Z48" s="112"/>
      <c r="AC48" s="6"/>
      <c r="AD48" s="7"/>
    </row>
    <row r="49" spans="1:30" ht="35.1" customHeight="1">
      <c r="A49" s="143" t="str">
        <f>IF($G$8="BR",'Grad 5'!$Y19,IF($G$8="QMC",'Grad 5'!$Y19,IF($G$8="HPC-D",'Grad 5'!$Y19,"")))</f>
        <v/>
      </c>
      <c r="B49" s="520" t="str">
        <f>IF($G$8="BR",'Grad 5'!$Y20,IF($G$8="QMC",'Grad 5'!$Y20,IF($G$8="HPC-D",'Grad 5'!$Y20,"")))</f>
        <v/>
      </c>
      <c r="C49" s="520" t="str">
        <f>IF($G$8="BR",'Grad 5'!$Y21,IF($G$8="QMC",'Grad 5'!$Y21,IF($G$8="HPC-D",'Grad 5'!$Y21,"")))</f>
        <v/>
      </c>
      <c r="D49" s="520" t="str">
        <f>IF($G$8="BR",'Grad 5'!$Y22,IF($G$8="QMC",'Grad 5'!$Y22,IF($G$8="HPC-D",'Grad 5'!$Y22,"")))</f>
        <v/>
      </c>
      <c r="E49" s="520" t="str">
        <f>IF($G$8="BR",'Grad 5'!$Y23,IF($G$8="QMC",'Grad 5'!$Y23,IF($G$8="HPC-D",'Grad 5'!$Y23,"")))</f>
        <v/>
      </c>
      <c r="F49" s="520" t="str">
        <f>IF($G$8="BR",'Grad 5'!$Y24,IF($G$8="QMC",'Grad 5'!$Y24,IF($G$8="HPC-D",'Grad 5'!$Y24,"")))</f>
        <v/>
      </c>
      <c r="G49" s="520" t="str">
        <f>IF($G$8="BR",'Grad 5'!$Y25,IF($G$8="QMC",'Grad 5'!$Y25,IF($G$8="HPC-D",'Grad 5'!$Y25,"")))</f>
        <v/>
      </c>
      <c r="H49" s="520" t="str">
        <f>IF($G$8="BR",'Grad 5'!$Y26,IF($G$8="QMC",'Grad 5'!$Y26,IF($G$8="HPC-D",'Grad 5'!$Y26,"")))</f>
        <v/>
      </c>
      <c r="I49" s="520" t="str">
        <f>IF($G$8="BR",'Grad 5'!$Y27,IF($G$8="QMC",'Grad 5'!$Y27,IF($G$8="HPC-D",'Grad 5'!$Y27,"")))</f>
        <v/>
      </c>
      <c r="J49" s="520" t="str">
        <f>IF($G$8="BR",'Grad 5'!$Y28,IF($G$8="QMC",'Grad 5'!$Y28,IF($G$8="HPC-D",'Grad 5'!$Y28,"")))</f>
        <v/>
      </c>
      <c r="K49" s="520" t="str">
        <f>IF($G$8="BR",'Grad 5'!$Y29,IF($G$8="QMC",'Grad 5'!$Y29,IF($G$8="HPC-D",'Grad 5'!$Y29,"")))</f>
        <v/>
      </c>
      <c r="L49" s="520" t="str">
        <f>IF($G$8="BR",'Grad 5'!$Y30,IF($G$8="QMC",'Grad 5'!$Y30,IF($G$8="HPC-D",'Grad 5'!$Y30,"")))</f>
        <v/>
      </c>
      <c r="M49" s="155" t="str">
        <f>IF('Grad 5'!Y23="","",IF(G$8="QMC",'Grad 5'!$AE$31," "))</f>
        <v xml:space="preserve"> </v>
      </c>
      <c r="N49" s="521" t="str">
        <f>IF($G$8="BR",'Grad 5'!$Y$32,IF($G$8="QMC",'Grad 5'!$Y$32,IF($G$8="HPC-D",'Grad 5'!$Y$32,"")))</f>
        <v/>
      </c>
      <c r="O49" s="521" t="str">
        <f>IF($G$8="BR",'Grad 5'!$Y$33,IF($G$8="QMC",'Grad 5'!$Y$33,IF($G$8="HPC-D",'Grad 5'!$Y$33,"")))</f>
        <v/>
      </c>
      <c r="P49" s="167"/>
      <c r="R49" s="135"/>
      <c r="S49" s="104"/>
      <c r="T49"/>
      <c r="U49"/>
      <c r="V49"/>
      <c r="W49"/>
      <c r="X49"/>
      <c r="Y49"/>
      <c r="Z49" s="112"/>
      <c r="AC49" s="6"/>
      <c r="AD49" s="7"/>
    </row>
    <row r="50" spans="1:30" ht="35.1" hidden="1" customHeight="1">
      <c r="A50" s="151"/>
      <c r="B50" s="523"/>
      <c r="C50" s="523"/>
      <c r="D50" s="523"/>
      <c r="E50" s="523"/>
      <c r="F50" s="523"/>
      <c r="G50" s="523"/>
      <c r="H50" s="523"/>
      <c r="I50" s="523"/>
      <c r="J50" s="523"/>
      <c r="K50" s="523"/>
      <c r="L50" s="523"/>
      <c r="M50" s="524"/>
      <c r="N50" s="521" t="str">
        <f>IF(M$57="","",M$57)</f>
        <v/>
      </c>
      <c r="O50" s="521" t="str">
        <f>IF(M$58="","",M$58)</f>
        <v/>
      </c>
      <c r="P50" s="167"/>
      <c r="R50" s="135"/>
      <c r="S50" s="104"/>
      <c r="T50"/>
      <c r="U50"/>
      <c r="V50"/>
      <c r="W50"/>
      <c r="X50"/>
      <c r="Y50"/>
      <c r="Z50" s="112"/>
      <c r="AC50" s="6"/>
      <c r="AD50" s="7"/>
    </row>
    <row r="51" spans="1:30" ht="35.1" hidden="1" customHeight="1">
      <c r="A51" s="151"/>
      <c r="B51" s="523"/>
      <c r="C51" s="523"/>
      <c r="D51" s="523"/>
      <c r="E51" s="523"/>
      <c r="F51" s="523"/>
      <c r="G51" s="523"/>
      <c r="H51" s="523"/>
      <c r="I51" s="523"/>
      <c r="J51" s="523"/>
      <c r="K51" s="523"/>
      <c r="L51" s="523"/>
      <c r="M51" s="524"/>
      <c r="N51" s="521" t="str">
        <f>IF(N$57="","",N$57)</f>
        <v/>
      </c>
      <c r="O51" s="521" t="str">
        <f>IF(N$58="","",N$58)</f>
        <v/>
      </c>
      <c r="P51" s="167"/>
      <c r="R51" s="135"/>
      <c r="S51" s="104"/>
      <c r="T51"/>
      <c r="U51"/>
      <c r="V51"/>
      <c r="W51"/>
      <c r="X51"/>
      <c r="Y51"/>
      <c r="Z51" s="112"/>
      <c r="AC51" s="6"/>
      <c r="AD51" s="7"/>
    </row>
    <row r="52" spans="1:30" ht="35.1" hidden="1" customHeight="1">
      <c r="A52" s="151"/>
      <c r="B52" s="523"/>
      <c r="C52" s="523"/>
      <c r="D52" s="523"/>
      <c r="E52" s="523"/>
      <c r="F52" s="523"/>
      <c r="G52" s="523"/>
      <c r="H52" s="523"/>
      <c r="I52" s="523"/>
      <c r="J52" s="523"/>
      <c r="K52" s="523"/>
      <c r="L52" s="523"/>
      <c r="M52" s="524"/>
      <c r="N52" s="521" t="str">
        <f>IF(O$57="","",O$57)</f>
        <v/>
      </c>
      <c r="O52" s="521" t="str">
        <f>IF(O$58="","",O$58)</f>
        <v/>
      </c>
      <c r="P52" s="167"/>
      <c r="R52" s="135"/>
      <c r="S52" s="104"/>
      <c r="T52"/>
      <c r="U52"/>
      <c r="V52"/>
      <c r="W52"/>
      <c r="X52"/>
      <c r="Y52"/>
      <c r="Z52" s="112"/>
      <c r="AC52" s="6"/>
      <c r="AD52" s="7"/>
    </row>
    <row r="53" spans="1:30" ht="35.1" hidden="1" customHeight="1">
      <c r="A53" s="151"/>
      <c r="B53" s="523"/>
      <c r="C53" s="523"/>
      <c r="D53" s="523"/>
      <c r="E53" s="523"/>
      <c r="F53" s="523"/>
      <c r="G53" s="523"/>
      <c r="H53" s="523"/>
      <c r="I53" s="523"/>
      <c r="J53" s="523"/>
      <c r="K53" s="523"/>
      <c r="L53" s="523"/>
      <c r="M53" s="524"/>
      <c r="N53" s="521" t="str">
        <f>IF(P$57="","",P$57)</f>
        <v/>
      </c>
      <c r="O53" s="521" t="str">
        <f>IF(M$58="","",M$58)</f>
        <v/>
      </c>
      <c r="P53" s="167"/>
      <c r="R53" s="135"/>
      <c r="S53" s="104"/>
      <c r="T53"/>
      <c r="U53"/>
      <c r="V53"/>
      <c r="W53"/>
      <c r="X53"/>
      <c r="Y53"/>
      <c r="Z53" s="112"/>
      <c r="AC53" s="6"/>
      <c r="AD53" s="7"/>
    </row>
    <row r="54" spans="1:30" ht="35.1" customHeight="1">
      <c r="B54" s="135"/>
      <c r="C54" s="135"/>
      <c r="D54" s="152"/>
      <c r="E54" s="156"/>
      <c r="F54" s="156"/>
      <c r="G54" s="156"/>
      <c r="H54" s="156"/>
      <c r="I54" s="156"/>
      <c r="J54" s="591" t="s">
        <v>124</v>
      </c>
      <c r="K54" s="592"/>
      <c r="L54" s="592"/>
      <c r="M54" s="593"/>
      <c r="N54" s="522" t="str">
        <f>IF(N45&gt;0,AVERAGE(N45:N53),"")</f>
        <v/>
      </c>
      <c r="O54" s="522" t="str">
        <f>IF(N45&gt;0,AVERAGE(O45:O53),"")</f>
        <v/>
      </c>
      <c r="P54" s="140" t="str">
        <f>IF(N45="","",Q54)</f>
        <v/>
      </c>
      <c r="Q54" s="181" t="str">
        <f>IF(AND($N$54&lt;100,$N$54&gt;0,$O$54&gt;-0.140625*$N$54+50.06),"IV",IF(AND($N$54&lt;75,$N$54&gt;=45,$O$54&gt;-0.140625*$N$54+39.2,$O$54&lt;-0.140625*$N$54+50.06),"II",IF(AND($N$54&lt;45,$O$54&gt;-0.140625*$N$54+39.2,$O$54&lt;-0.140625*$N$54+50.06),"III",IF(AND($N$54&gt;75,$O$54&gt;-0.140625*$N$54+39.2,$O$54&lt;-0.140625*$N$54+50.06),"I",IF(AND($N$54&lt;72,$N$54&gt;45,$O$54&lt;-0.140625*$N$54+39.2),"V","O")))))</f>
        <v>O</v>
      </c>
      <c r="R54" s="135"/>
      <c r="S54" s="104"/>
      <c r="T54"/>
      <c r="U54"/>
      <c r="V54"/>
      <c r="W54"/>
      <c r="X54"/>
      <c r="Y54"/>
      <c r="Z54" s="112"/>
      <c r="AC54" s="6"/>
      <c r="AD54" s="7"/>
    </row>
    <row r="55" spans="1:30" ht="35.1" customHeight="1">
      <c r="B55" s="135"/>
      <c r="C55" s="135"/>
      <c r="D55" s="152"/>
      <c r="E55" s="156"/>
      <c r="F55" s="156"/>
      <c r="G55" s="156"/>
      <c r="H55" s="156"/>
      <c r="I55" s="156"/>
      <c r="J55" s="591" t="s">
        <v>125</v>
      </c>
      <c r="K55" s="575"/>
      <c r="L55" s="575"/>
      <c r="M55" s="575"/>
      <c r="N55" s="522" t="str">
        <f>IF('Proj Info'!B58="","",'Proj Info'!B58)</f>
        <v/>
      </c>
      <c r="O55" s="522" t="str">
        <f>IF('Proj Info'!B59="","",'Proj Info'!B59)</f>
        <v/>
      </c>
      <c r="P55" s="140" t="str">
        <f>IF('Proj Info'!B60="","",'Proj Info'!B60)</f>
        <v/>
      </c>
      <c r="Q55" s="157"/>
      <c r="R55" s="135"/>
      <c r="S55" s="104"/>
      <c r="T55"/>
      <c r="U55"/>
      <c r="V55"/>
      <c r="W55"/>
      <c r="X55"/>
      <c r="Y55"/>
      <c r="Z55" s="112"/>
      <c r="AC55" s="6"/>
      <c r="AD55" s="7"/>
    </row>
    <row r="56" spans="1:30" ht="35.1" customHeight="1">
      <c r="B56" s="135"/>
      <c r="C56" s="135"/>
      <c r="D56" s="152"/>
      <c r="E56" s="156"/>
      <c r="F56" s="156"/>
      <c r="G56" s="156"/>
      <c r="H56" s="156"/>
      <c r="I56" s="156"/>
      <c r="J56" s="156"/>
      <c r="K56" s="156"/>
      <c r="L56" s="525" t="s">
        <v>515</v>
      </c>
      <c r="M56" s="526"/>
      <c r="N56" s="526"/>
      <c r="O56" s="526"/>
      <c r="P56" s="526"/>
      <c r="Q56" s="157"/>
      <c r="R56" s="135"/>
      <c r="S56" s="104"/>
      <c r="T56"/>
      <c r="U56"/>
      <c r="V56"/>
      <c r="W56"/>
      <c r="X56"/>
      <c r="Y56"/>
      <c r="Z56" s="112"/>
      <c r="AC56" s="6"/>
      <c r="AD56" s="7"/>
    </row>
    <row r="57" spans="1:30" ht="35.1" customHeight="1">
      <c r="B57" s="135"/>
      <c r="C57" s="135"/>
      <c r="D57" s="152"/>
      <c r="E57" s="156"/>
      <c r="F57" s="156"/>
      <c r="G57" s="156"/>
      <c r="H57" s="156"/>
      <c r="I57" s="156"/>
      <c r="J57" s="156"/>
      <c r="K57" s="527"/>
      <c r="L57" s="528" t="s">
        <v>516</v>
      </c>
      <c r="M57" s="530"/>
      <c r="N57" s="530"/>
      <c r="O57" s="530"/>
      <c r="P57" s="530"/>
      <c r="Q57" s="157"/>
      <c r="R57" s="135"/>
      <c r="S57" s="104"/>
      <c r="T57"/>
      <c r="U57"/>
      <c r="V57"/>
      <c r="W57"/>
      <c r="X57"/>
      <c r="Y57"/>
      <c r="Z57" s="112"/>
      <c r="AC57" s="6"/>
      <c r="AD57" s="7"/>
    </row>
    <row r="58" spans="1:30" ht="35.1" customHeight="1">
      <c r="B58" s="135"/>
      <c r="C58" s="135"/>
      <c r="D58" s="152"/>
      <c r="E58" s="134"/>
      <c r="F58" s="134"/>
      <c r="G58" s="134"/>
      <c r="H58" s="134"/>
      <c r="I58" s="134"/>
      <c r="J58" s="134"/>
      <c r="K58" s="529"/>
      <c r="L58" s="528" t="s">
        <v>517</v>
      </c>
      <c r="M58" s="531"/>
      <c r="N58" s="531"/>
      <c r="O58" s="531"/>
      <c r="P58" s="531"/>
      <c r="Q58" s="134"/>
      <c r="R58" s="135"/>
      <c r="S58" s="104"/>
      <c r="T58" s="104"/>
      <c r="Z58" s="112"/>
      <c r="AC58" s="6"/>
      <c r="AD58" s="7"/>
    </row>
    <row r="59" spans="1:30" ht="35.1" customHeight="1">
      <c r="B59" s="159" t="s">
        <v>28</v>
      </c>
      <c r="C59" s="584"/>
      <c r="D59" s="585"/>
      <c r="E59" s="585"/>
      <c r="F59" s="585"/>
      <c r="G59" s="585"/>
      <c r="H59" s="585"/>
      <c r="I59" s="585"/>
      <c r="J59" s="585"/>
      <c r="K59" s="585"/>
      <c r="L59" s="585"/>
      <c r="M59" s="585"/>
      <c r="N59" s="586"/>
      <c r="O59" s="586"/>
      <c r="P59" s="587"/>
      <c r="Q59" s="134"/>
      <c r="R59" s="134"/>
      <c r="S59" s="112"/>
      <c r="T59" s="112"/>
      <c r="U59" s="112"/>
      <c r="V59" s="112"/>
      <c r="W59" s="112"/>
      <c r="X59" s="112"/>
      <c r="Y59" s="112"/>
      <c r="Z59" s="112"/>
      <c r="AC59" s="6"/>
      <c r="AD59" s="7"/>
    </row>
    <row r="60" spans="1:30" ht="35.1" customHeight="1">
      <c r="B60" s="135"/>
      <c r="C60" s="588"/>
      <c r="D60" s="585"/>
      <c r="E60" s="585"/>
      <c r="F60" s="585"/>
      <c r="G60" s="585"/>
      <c r="H60" s="585"/>
      <c r="I60" s="585"/>
      <c r="J60" s="585"/>
      <c r="K60" s="585"/>
      <c r="L60" s="585"/>
      <c r="M60" s="585"/>
      <c r="N60" s="586"/>
      <c r="O60" s="586"/>
      <c r="P60" s="587"/>
      <c r="Q60" s="134"/>
      <c r="R60" s="134"/>
      <c r="S60" s="112"/>
      <c r="T60" s="112"/>
      <c r="U60" s="112"/>
      <c r="V60" s="112"/>
      <c r="W60" s="112"/>
      <c r="X60" s="112"/>
      <c r="Y60" s="112"/>
      <c r="Z60" s="112"/>
      <c r="AC60" s="6"/>
      <c r="AD60" s="7"/>
    </row>
    <row r="61" spans="1:30" ht="35.1" customHeight="1">
      <c r="A61" s="106" t="s">
        <v>136</v>
      </c>
      <c r="B61" s="106"/>
      <c r="C61" s="106"/>
      <c r="D61" s="106"/>
      <c r="E61" s="106"/>
      <c r="F61" s="106"/>
      <c r="G61" s="106"/>
      <c r="H61" s="124"/>
      <c r="I61" s="124"/>
      <c r="J61" s="111" t="s">
        <v>29</v>
      </c>
      <c r="K61" s="122" t="str">
        <f>IF('Proj Info'!B37="","",('Proj Info'!B37))</f>
        <v/>
      </c>
      <c r="L61" s="122"/>
      <c r="M61" s="122"/>
      <c r="N61" s="122"/>
      <c r="O61" s="111" t="s">
        <v>211</v>
      </c>
      <c r="P61" s="121" t="str">
        <f>IF('Proj Info'!B38="","",('Proj Info'!B38))</f>
        <v/>
      </c>
      <c r="U61" s="106"/>
      <c r="Z61" s="106"/>
      <c r="AA61" s="6"/>
      <c r="AB61" s="6"/>
      <c r="AC61" s="6"/>
      <c r="AD61" s="7"/>
    </row>
    <row r="62" spans="1:30" ht="21.95" customHeight="1">
      <c r="O62" s="6"/>
      <c r="P62" s="6"/>
      <c r="Q62" s="6"/>
      <c r="Z62" s="6"/>
      <c r="AA62" s="6"/>
      <c r="AB62" s="6"/>
      <c r="AC62" s="6"/>
      <c r="AD62" s="7"/>
    </row>
    <row r="63" spans="1:30" ht="21.95" customHeight="1">
      <c r="O63" s="6"/>
      <c r="P63" s="6"/>
      <c r="Q63" s="6"/>
      <c r="Z63" s="6"/>
      <c r="AA63" s="6"/>
      <c r="AB63" s="6"/>
      <c r="AC63" s="6"/>
      <c r="AD63" s="7"/>
    </row>
    <row r="64" spans="1:30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4:29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4:29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4:29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4:29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4:29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4:29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4:29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4:29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4:29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4:29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4:29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4:29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4:29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4:29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4:29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4:29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4:29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4:29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4:29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4:29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4:29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4:29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4:29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4:29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4:29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4:29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4:29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4:29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4:29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4:29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4:29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4:29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4:29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4:29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4:29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4:29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4:29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4:29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4:29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4:29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4:29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4:29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4:29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4:29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4:29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4:29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4:29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4:29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4:29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4:29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4:29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4:29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4:29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4:29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4:29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4:29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4:29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4:29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4:29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4:29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4:29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4:29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4:29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4:29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4:29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4:29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4:29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4:29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4:29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4:29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4:29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4:29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4:29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4:29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4:29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4:29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4:29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4:29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4:29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4:29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4:29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4:29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4:29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4:29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4:29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4:29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4:29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4:29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4:29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4:29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4:29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4:29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4:29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4:29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4:29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4:29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4:29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4:29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4:29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4:29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4:29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4:29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4:29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4:29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4:29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4:29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4:29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4:29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4:29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4:29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4:29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4:29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4:29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4:29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4:29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4:29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4:29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4:29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4:29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4:29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4:29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4:29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4:29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4:29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4:29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4:29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4:29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4:29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4:29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4:29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4:29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4:29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4:29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4:29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4:29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4:29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4:29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4:29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4:29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4:29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4:29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4:29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4:29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4:29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4:29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4:29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4:29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4:29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4:29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4:29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4:29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4:29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4:29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4:29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4:29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4:29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4:29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4:29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4:29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4:29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4:29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4:29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4:29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4:29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4:29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4:29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4:29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4:29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4:29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4:29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4:29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4:29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4:29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4:29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4:29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4:29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4:29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4:29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4:29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4:29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4:29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4:29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4:29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4:29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4:29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4:29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4:29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4:29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4:29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4:29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4:29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4:29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4:29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4:29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4:29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4:29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4:29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4:29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4:29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4:29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4:29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4:29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4:29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4:29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4:29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4:29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4:29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4:29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4:29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4:29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4:29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4:29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4:29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4:29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4:29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4:29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4:29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4:29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4:29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4:29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4:29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4:29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4:29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4:29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4:29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4:29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4:29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4:29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4:29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4:29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4:29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4:29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4:29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4:29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4:29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4:29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4:29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4:29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4:29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4:29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4:29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4:29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4:29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4:29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4:29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4:29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4:29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4:29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4:29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4:29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4:29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4:29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4:29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4:29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4:29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4:29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4:29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4:29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4:29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4:29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4:29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4:29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4:29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4:29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4:29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4:29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4:29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4:29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4:29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4:29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4:29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4:29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4:29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4:29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4:29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4:29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4:29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4:29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4:29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4:29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4:29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4:29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4:29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4:29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4:29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4:29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4:29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4:29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4:29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4:29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4:29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4:29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4:29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4:29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4:29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4:29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4:29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4:29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4:29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4:29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4:29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4:29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4:29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4:29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4:29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4:29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Y370" s="1"/>
      <c r="Z370" s="1"/>
      <c r="AA370" s="1"/>
      <c r="AB370" s="1"/>
    </row>
    <row r="371" spans="4:29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Y371" s="1"/>
      <c r="Z371" s="1"/>
      <c r="AA371" s="1"/>
      <c r="AB371" s="1"/>
    </row>
    <row r="372" spans="4:29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Y372" s="1"/>
      <c r="Z372" s="1"/>
      <c r="AA372" s="1"/>
      <c r="AB372" s="1"/>
    </row>
  </sheetData>
  <sheetProtection algorithmName="SHA-512" hashValue="YZ2y6JLD5Ux6fpCb0D+BZ1ICozRwRlmAWbUb3bbfJwehCwrxKDfmGV+vzwZa8iG6bapg4pAlIaz4Oj2y8EA2Xw==" saltValue="uH40QTH9QLzzNGcXGaoiVw==" spinCount="100000" sheet="1"/>
  <mergeCells count="31">
    <mergeCell ref="Y10:Z10"/>
    <mergeCell ref="A12:F12"/>
    <mergeCell ref="E4:J4"/>
    <mergeCell ref="A32:F32"/>
    <mergeCell ref="A22:F22"/>
    <mergeCell ref="L9:M9"/>
    <mergeCell ref="E14:F14"/>
    <mergeCell ref="E15:F15"/>
    <mergeCell ref="E16:F16"/>
    <mergeCell ref="E17:F17"/>
    <mergeCell ref="E27:F27"/>
    <mergeCell ref="E18:F18"/>
    <mergeCell ref="E19:F19"/>
    <mergeCell ref="E24:F24"/>
    <mergeCell ref="E25:F25"/>
    <mergeCell ref="E26:F26"/>
    <mergeCell ref="O42:O44"/>
    <mergeCell ref="P42:P44"/>
    <mergeCell ref="C59:P59"/>
    <mergeCell ref="C60:P60"/>
    <mergeCell ref="N42:N44"/>
    <mergeCell ref="J54:M54"/>
    <mergeCell ref="J55:M55"/>
    <mergeCell ref="E38:F38"/>
    <mergeCell ref="E39:F39"/>
    <mergeCell ref="E28:F28"/>
    <mergeCell ref="E29:F29"/>
    <mergeCell ref="E34:F34"/>
    <mergeCell ref="E35:F35"/>
    <mergeCell ref="E36:F36"/>
    <mergeCell ref="E37:F37"/>
  </mergeCells>
  <phoneticPr fontId="0" type="noConversion"/>
  <pageMargins left="7.0000000000000007E-2" right="0.5" top="0.25" bottom="0.25" header="0.25" footer="0.25"/>
  <pageSetup scale="38" orientation="portrait" verticalDpi="300" r:id="rId1"/>
  <headerFooter alignWithMargins="0"/>
  <colBreaks count="1" manualBreakCount="1">
    <brk id="28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4" workbookViewId="0">
      <selection activeCell="A3" sqref="A3"/>
    </sheetView>
  </sheetViews>
  <sheetFormatPr defaultRowHeight="15"/>
  <cols>
    <col min="1" max="1" width="13.109375" customWidth="1"/>
    <col min="3" max="3" width="10.77734375" customWidth="1"/>
    <col min="6" max="6" width="10.77734375" customWidth="1"/>
  </cols>
  <sheetData>
    <row r="1" spans="1:7" ht="23.25">
      <c r="A1" s="333"/>
      <c r="B1" s="334"/>
      <c r="C1" s="334"/>
      <c r="D1" s="334"/>
      <c r="E1" s="334"/>
      <c r="F1" s="334"/>
      <c r="G1" s="335"/>
    </row>
    <row r="2" spans="1:7" ht="23.25">
      <c r="A2" s="333" t="s">
        <v>430</v>
      </c>
      <c r="B2" s="334"/>
      <c r="C2" s="334"/>
      <c r="D2" s="334"/>
      <c r="E2" s="334"/>
      <c r="F2" s="334"/>
      <c r="G2" s="335"/>
    </row>
    <row r="3" spans="1:7" ht="23.25">
      <c r="A3" s="333"/>
      <c r="B3" s="334"/>
      <c r="C3" s="334"/>
      <c r="D3" s="334"/>
      <c r="E3" s="334"/>
      <c r="F3" s="334"/>
      <c r="G3" s="335"/>
    </row>
    <row r="4" spans="1:7">
      <c r="A4" s="335"/>
      <c r="B4" s="336"/>
      <c r="C4" s="336"/>
      <c r="D4" s="336"/>
      <c r="E4" s="337"/>
      <c r="F4" s="338" t="s">
        <v>73</v>
      </c>
      <c r="G4" s="337"/>
    </row>
    <row r="5" spans="1:7" ht="16.5" thickBot="1">
      <c r="A5" s="339"/>
      <c r="B5" s="606" t="s">
        <v>372</v>
      </c>
      <c r="C5" s="607"/>
      <c r="D5" s="608"/>
      <c r="E5" s="609" t="s">
        <v>373</v>
      </c>
      <c r="F5" s="609"/>
      <c r="G5" s="610"/>
    </row>
    <row r="6" spans="1:7" ht="17.25" thickTop="1">
      <c r="A6" s="340"/>
      <c r="B6" s="341" t="s">
        <v>13</v>
      </c>
      <c r="C6" s="341" t="s">
        <v>14</v>
      </c>
      <c r="D6" s="341" t="s">
        <v>15</v>
      </c>
      <c r="E6" s="341" t="s">
        <v>13</v>
      </c>
      <c r="F6" s="341" t="s">
        <v>14</v>
      </c>
      <c r="G6" s="342" t="s">
        <v>15</v>
      </c>
    </row>
    <row r="7" spans="1:7" ht="16.5">
      <c r="A7" s="343" t="s">
        <v>79</v>
      </c>
      <c r="B7" s="344" t="s">
        <v>16</v>
      </c>
      <c r="C7" s="344" t="s">
        <v>16</v>
      </c>
      <c r="D7" s="344" t="s">
        <v>16</v>
      </c>
      <c r="E7" s="344" t="s">
        <v>16</v>
      </c>
      <c r="F7" s="344" t="s">
        <v>16</v>
      </c>
      <c r="G7" s="345" t="s">
        <v>16</v>
      </c>
    </row>
    <row r="8" spans="1:7" ht="16.5">
      <c r="A8" s="343" t="s">
        <v>85</v>
      </c>
      <c r="B8" s="344" t="s">
        <v>86</v>
      </c>
      <c r="C8" s="344" t="s">
        <v>86</v>
      </c>
      <c r="D8" s="344" t="s">
        <v>86</v>
      </c>
      <c r="E8" s="344" t="s">
        <v>86</v>
      </c>
      <c r="F8" s="344" t="s">
        <v>86</v>
      </c>
      <c r="G8" s="345" t="s">
        <v>86</v>
      </c>
    </row>
    <row r="9" spans="1:7" ht="17.25" thickBot="1">
      <c r="A9" s="346"/>
      <c r="B9" s="347" t="s">
        <v>87</v>
      </c>
      <c r="C9" s="347" t="s">
        <v>87</v>
      </c>
      <c r="D9" s="347" t="s">
        <v>87</v>
      </c>
      <c r="E9" s="347" t="s">
        <v>87</v>
      </c>
      <c r="F9" s="347" t="s">
        <v>87</v>
      </c>
      <c r="G9" s="348" t="s">
        <v>87</v>
      </c>
    </row>
    <row r="10" spans="1:7" ht="17.25" thickTop="1">
      <c r="A10" s="349" t="s">
        <v>374</v>
      </c>
      <c r="B10" s="350">
        <f>'Grad 1'!I5</f>
        <v>0</v>
      </c>
      <c r="C10" s="350">
        <f>'Grad 1'!I22</f>
        <v>0</v>
      </c>
      <c r="D10" s="351"/>
      <c r="E10" s="352"/>
      <c r="F10" s="352"/>
      <c r="G10" s="353"/>
    </row>
    <row r="11" spans="1:7" ht="16.5">
      <c r="A11" s="349" t="s">
        <v>375</v>
      </c>
      <c r="B11" s="350">
        <f>'Grad 1'!I6</f>
        <v>0</v>
      </c>
      <c r="C11" s="350">
        <f>'Grad 1'!I23</f>
        <v>0</v>
      </c>
      <c r="D11" s="351"/>
      <c r="E11" s="352"/>
      <c r="F11" s="352"/>
      <c r="G11" s="353"/>
    </row>
    <row r="12" spans="1:7" ht="16.5">
      <c r="A12" s="349" t="s">
        <v>376</v>
      </c>
      <c r="B12" s="350">
        <f>'Grad 1'!I7</f>
        <v>0</v>
      </c>
      <c r="C12" s="350">
        <f>'Grad 1'!I24</f>
        <v>0</v>
      </c>
      <c r="D12" s="351"/>
      <c r="E12" s="352"/>
      <c r="F12" s="352"/>
      <c r="G12" s="353"/>
    </row>
    <row r="13" spans="1:7" ht="16.5">
      <c r="A13" s="349" t="s">
        <v>377</v>
      </c>
      <c r="B13" s="350">
        <f>'Grad 1'!I8</f>
        <v>0</v>
      </c>
      <c r="C13" s="350">
        <f>'Grad 1'!I25</f>
        <v>0</v>
      </c>
      <c r="D13" s="351"/>
      <c r="E13" s="352"/>
      <c r="F13" s="352"/>
      <c r="G13" s="353"/>
    </row>
    <row r="14" spans="1:7" ht="16.5">
      <c r="A14" s="349" t="s">
        <v>378</v>
      </c>
      <c r="B14" s="350">
        <f>'Grad 1'!I9</f>
        <v>0</v>
      </c>
      <c r="C14" s="350">
        <f>'Grad 1'!I26</f>
        <v>0</v>
      </c>
      <c r="D14" s="350">
        <f>'Grad 1'!I42</f>
        <v>0</v>
      </c>
      <c r="E14" s="352"/>
      <c r="F14" s="352"/>
      <c r="G14" s="354"/>
    </row>
    <row r="15" spans="1:7" ht="16.5">
      <c r="A15" s="349" t="s">
        <v>379</v>
      </c>
      <c r="B15" s="350">
        <f>'Grad 1'!I10</f>
        <v>0</v>
      </c>
      <c r="C15" s="350">
        <f>'Grad 1'!I27</f>
        <v>0</v>
      </c>
      <c r="D15" s="350">
        <f>'Grad 1'!I43</f>
        <v>0</v>
      </c>
      <c r="E15" s="352"/>
      <c r="F15" s="352"/>
      <c r="G15" s="354"/>
    </row>
    <row r="16" spans="1:7" ht="16.5">
      <c r="A16" s="349" t="s">
        <v>380</v>
      </c>
      <c r="B16" s="350">
        <f>'Grad 1'!I11</f>
        <v>0</v>
      </c>
      <c r="C16" s="350">
        <f>'Grad 1'!I28</f>
        <v>0</v>
      </c>
      <c r="D16" s="350">
        <f>'Grad 1'!I44</f>
        <v>0</v>
      </c>
      <c r="E16" s="352"/>
      <c r="F16" s="352"/>
      <c r="G16" s="354"/>
    </row>
    <row r="17" spans="1:7" ht="16.5">
      <c r="A17" s="349" t="s">
        <v>381</v>
      </c>
      <c r="B17" s="351"/>
      <c r="C17" s="351"/>
      <c r="D17" s="350">
        <f>'Grad 1'!I45</f>
        <v>0</v>
      </c>
      <c r="E17" s="353"/>
      <c r="F17" s="353"/>
      <c r="G17" s="354"/>
    </row>
    <row r="18" spans="1:7" ht="16.5">
      <c r="A18" s="349" t="s">
        <v>382</v>
      </c>
      <c r="B18" s="351"/>
      <c r="C18" s="351"/>
      <c r="D18" s="350">
        <f>'Grad 1'!I46</f>
        <v>0</v>
      </c>
      <c r="E18" s="353"/>
      <c r="F18" s="353"/>
      <c r="G18" s="354"/>
    </row>
    <row r="19" spans="1:7" ht="16.5">
      <c r="A19" s="349" t="s">
        <v>383</v>
      </c>
      <c r="B19" s="351"/>
      <c r="C19" s="351"/>
      <c r="D19" s="350">
        <f>'Grad 1'!I47</f>
        <v>0</v>
      </c>
      <c r="E19" s="353"/>
      <c r="F19" s="353"/>
      <c r="G19" s="354"/>
    </row>
    <row r="20" spans="1:7" ht="16.5">
      <c r="A20" s="349" t="s">
        <v>384</v>
      </c>
      <c r="B20" s="351"/>
      <c r="C20" s="351"/>
      <c r="D20" s="350">
        <f>'Grad 1'!I48</f>
        <v>0</v>
      </c>
      <c r="E20" s="353"/>
      <c r="F20" s="353"/>
      <c r="G20" s="354"/>
    </row>
    <row r="21" spans="1:7" ht="17.25" thickBot="1">
      <c r="A21" s="355" t="s">
        <v>385</v>
      </c>
      <c r="B21" s="431">
        <f>'Grad 1'!I14</f>
        <v>0</v>
      </c>
      <c r="C21" s="356">
        <f>'Grad 1'!I31</f>
        <v>0</v>
      </c>
      <c r="D21" s="356">
        <f>'Grad 1'!I49</f>
        <v>0</v>
      </c>
      <c r="E21" s="357"/>
      <c r="F21" s="357"/>
      <c r="G21" s="358"/>
    </row>
    <row r="22" spans="1:7" ht="17.25" thickTop="1">
      <c r="A22" s="359"/>
      <c r="B22" s="360"/>
      <c r="C22" s="360"/>
      <c r="D22" s="360"/>
      <c r="E22" s="361"/>
      <c r="F22" s="361"/>
      <c r="G22" s="361"/>
    </row>
    <row r="23" spans="1:7" ht="17.25" thickBot="1">
      <c r="A23" s="359"/>
      <c r="B23" s="360"/>
      <c r="C23" s="360"/>
      <c r="D23" s="360"/>
      <c r="E23" s="361"/>
      <c r="F23" s="361"/>
      <c r="G23" s="361"/>
    </row>
    <row r="24" spans="1:7" ht="18" thickTop="1" thickBot="1">
      <c r="A24" s="362" t="s">
        <v>386</v>
      </c>
      <c r="B24" s="363">
        <f>(B10-B11)+(B11-B12)+(B12-B13)+(B13-B14)+(B14-B15)+(B15-B16)+(B16-B21)+B21</f>
        <v>0</v>
      </c>
      <c r="C24" s="363">
        <f>(C10-C11)+(C11-C12)+(C12-C13)+(C13-C14)+(C14-C15)+(C15-C16)+(C16-C21)+C21</f>
        <v>0</v>
      </c>
      <c r="D24" s="363">
        <f>(D14-D15)+(D15-D16)+(D16-D17)+(D17-D18)+(D18-D19)+(D19-D20)+(D20-D21)+D21</f>
        <v>0</v>
      </c>
      <c r="E24" s="364">
        <f>(E10-E11)+(E11-E12)+(E12-E13)+(E13-E14)+(E14-E15)+(E15-E16)+(E16-E21)+E21</f>
        <v>0</v>
      </c>
      <c r="F24" s="364">
        <f>(F10-F11)+(F11-F12)+(F12-F13)+(F13-F14)+(F14-F15)+(F15-F16)+(F16-F21)+F21</f>
        <v>0</v>
      </c>
      <c r="G24" s="364">
        <f>(G14-G15)+(G15-G16)+(G16-G17)+(G17-G18)+(G18-G19)+(G19-G20)+(G20-G21)+G21</f>
        <v>0</v>
      </c>
    </row>
    <row r="25" spans="1:7" ht="17.25" thickTop="1">
      <c r="A25" s="359"/>
      <c r="B25" s="335"/>
      <c r="C25" s="335"/>
      <c r="D25" s="335"/>
      <c r="E25" s="335"/>
      <c r="F25" s="335"/>
      <c r="G25" s="335"/>
    </row>
    <row r="26" spans="1:7" ht="16.5">
      <c r="A26" s="359"/>
      <c r="B26" s="335"/>
      <c r="C26" s="335"/>
      <c r="D26" s="335"/>
      <c r="E26" s="335"/>
      <c r="F26" s="335"/>
      <c r="G26" s="335"/>
    </row>
    <row r="27" spans="1:7" ht="16.5">
      <c r="A27" s="359"/>
      <c r="B27" s="335"/>
      <c r="C27" s="335"/>
      <c r="D27" s="335"/>
      <c r="E27" s="335"/>
      <c r="F27" s="335"/>
      <c r="G27" s="335"/>
    </row>
    <row r="28" spans="1:7" ht="16.5">
      <c r="A28" s="359"/>
      <c r="B28" s="335"/>
      <c r="C28" s="335"/>
      <c r="D28" s="335"/>
      <c r="E28" s="335"/>
      <c r="F28" s="335"/>
      <c r="G28" s="335"/>
    </row>
    <row r="29" spans="1:7" ht="16.5">
      <c r="A29" s="365" t="s">
        <v>387</v>
      </c>
      <c r="B29" s="611"/>
      <c r="C29" s="612"/>
      <c r="D29" s="612"/>
      <c r="E29" s="612"/>
      <c r="F29" s="612"/>
      <c r="G29" s="612"/>
    </row>
    <row r="30" spans="1:7" ht="16.5">
      <c r="A30" s="365"/>
      <c r="B30" s="604" t="s">
        <v>388</v>
      </c>
      <c r="C30" s="605"/>
      <c r="D30" s="605"/>
      <c r="E30" s="605"/>
      <c r="F30" s="605"/>
      <c r="G30" s="605"/>
    </row>
    <row r="31" spans="1:7">
      <c r="A31" s="335"/>
      <c r="B31" s="604" t="s">
        <v>388</v>
      </c>
      <c r="C31" s="605"/>
      <c r="D31" s="605"/>
      <c r="E31" s="605"/>
      <c r="F31" s="605"/>
      <c r="G31" s="605"/>
    </row>
    <row r="32" spans="1:7">
      <c r="A32" s="335"/>
      <c r="B32" s="604" t="s">
        <v>388</v>
      </c>
      <c r="C32" s="605"/>
      <c r="D32" s="605"/>
      <c r="E32" s="605"/>
      <c r="F32" s="605"/>
      <c r="G32" s="605"/>
    </row>
    <row r="33" spans="1:7">
      <c r="A33" s="335"/>
      <c r="B33" s="366"/>
      <c r="C33" s="366"/>
      <c r="D33" s="366"/>
      <c r="E33" s="366"/>
      <c r="F33" s="366"/>
      <c r="G33" s="335"/>
    </row>
    <row r="34" spans="1:7">
      <c r="A34" s="335"/>
      <c r="B34" s="335"/>
      <c r="C34" s="335"/>
      <c r="D34" s="335"/>
      <c r="E34" s="335"/>
      <c r="F34" s="335"/>
      <c r="G34" s="335"/>
    </row>
    <row r="35" spans="1:7">
      <c r="A35" s="367" t="s">
        <v>389</v>
      </c>
      <c r="B35" s="368" t="s">
        <v>390</v>
      </c>
      <c r="C35" s="335"/>
      <c r="D35" s="335"/>
      <c r="E35" s="335"/>
      <c r="F35" s="335"/>
      <c r="G35" s="335"/>
    </row>
    <row r="36" spans="1:7">
      <c r="A36" s="335"/>
      <c r="B36" s="335"/>
      <c r="C36" s="335"/>
      <c r="D36" s="335"/>
      <c r="E36" s="335"/>
      <c r="F36" s="335"/>
      <c r="G36" s="335"/>
    </row>
    <row r="37" spans="1:7">
      <c r="A37" s="335"/>
      <c r="B37" s="335"/>
      <c r="C37" s="335"/>
      <c r="D37" s="335"/>
      <c r="E37" s="335"/>
      <c r="F37" s="335"/>
      <c r="G37" s="335"/>
    </row>
    <row r="38" spans="1:7">
      <c r="A38" s="335"/>
      <c r="B38" s="335"/>
      <c r="C38" s="335"/>
      <c r="D38" s="335"/>
      <c r="E38" s="335"/>
      <c r="F38" s="335"/>
      <c r="G38" s="335"/>
    </row>
    <row r="39" spans="1:7">
      <c r="A39" s="335"/>
      <c r="B39" s="335"/>
      <c r="C39" s="335"/>
      <c r="D39" s="335"/>
      <c r="E39" s="335"/>
      <c r="F39" s="335"/>
      <c r="G39" s="335"/>
    </row>
    <row r="40" spans="1:7">
      <c r="A40" s="335"/>
      <c r="B40" s="335"/>
      <c r="C40" s="335"/>
      <c r="D40" s="335"/>
      <c r="E40" s="335"/>
      <c r="F40" s="335"/>
      <c r="G40" s="335"/>
    </row>
    <row r="41" spans="1:7">
      <c r="A41" s="335"/>
      <c r="B41" s="335"/>
      <c r="C41" s="335"/>
      <c r="D41" s="335"/>
      <c r="E41" s="335"/>
      <c r="F41" s="335"/>
      <c r="G41" s="335"/>
    </row>
  </sheetData>
  <sheetProtection password="D8FF" sheet="1" objects="1" scenarios="1"/>
  <mergeCells count="6">
    <mergeCell ref="B31:G31"/>
    <mergeCell ref="B32:G32"/>
    <mergeCell ref="B5:D5"/>
    <mergeCell ref="E5:G5"/>
    <mergeCell ref="B29:G29"/>
    <mergeCell ref="B30:G30"/>
  </mergeCells>
  <phoneticPr fontId="48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84"/>
  <sheetViews>
    <sheetView zoomScale="75" workbookViewId="0">
      <selection activeCell="A2" sqref="A2"/>
    </sheetView>
  </sheetViews>
  <sheetFormatPr defaultRowHeight="15"/>
  <cols>
    <col min="1" max="1" width="18.6640625" customWidth="1"/>
    <col min="2" max="6" width="18.88671875" customWidth="1"/>
    <col min="7" max="7" width="16.33203125" customWidth="1"/>
  </cols>
  <sheetData>
    <row r="1" spans="1:7" ht="27">
      <c r="A1" s="624" t="s">
        <v>560</v>
      </c>
      <c r="B1" s="624"/>
      <c r="C1" s="624"/>
      <c r="D1" s="624"/>
      <c r="E1" s="624"/>
      <c r="F1" s="624"/>
      <c r="G1" s="624"/>
    </row>
    <row r="2" spans="1:7" ht="23.25">
      <c r="A2" s="369" t="s">
        <v>391</v>
      </c>
      <c r="B2" s="625">
        <f>'Proj Info'!B4</f>
        <v>0</v>
      </c>
      <c r="C2" s="625"/>
      <c r="D2" s="371"/>
      <c r="E2" s="371"/>
      <c r="F2" s="371"/>
      <c r="G2" s="371"/>
    </row>
    <row r="3" spans="1:7">
      <c r="A3" s="372"/>
      <c r="B3" s="625">
        <f>'Proj Info'!B5</f>
        <v>0</v>
      </c>
      <c r="C3" s="625"/>
      <c r="D3" s="372"/>
      <c r="E3" s="372"/>
      <c r="F3" s="372"/>
      <c r="G3" s="372"/>
    </row>
    <row r="4" spans="1:7">
      <c r="A4" s="373"/>
      <c r="B4" s="625">
        <f>'Proj Info'!B6</f>
        <v>0</v>
      </c>
      <c r="C4" s="625"/>
      <c r="D4" s="369" t="s">
        <v>392</v>
      </c>
      <c r="E4" s="374">
        <f>'Proj Info'!B11</f>
        <v>0</v>
      </c>
      <c r="F4" s="369" t="s">
        <v>393</v>
      </c>
      <c r="G4" s="375" t="str">
        <f>'821283C'!D15</f>
        <v/>
      </c>
    </row>
    <row r="5" spans="1:7">
      <c r="A5" s="372"/>
      <c r="B5" s="625">
        <f>'Proj Info'!B7</f>
        <v>0</v>
      </c>
      <c r="C5" s="625"/>
      <c r="D5" s="372"/>
      <c r="E5" s="376"/>
      <c r="F5" s="372"/>
      <c r="G5" s="376"/>
    </row>
    <row r="6" spans="1:7">
      <c r="A6" s="369" t="s">
        <v>394</v>
      </c>
      <c r="B6" s="625">
        <f>'Proj Info'!B9</f>
        <v>0</v>
      </c>
      <c r="C6" s="625"/>
      <c r="D6" s="369" t="s">
        <v>395</v>
      </c>
      <c r="E6" s="370">
        <f>'Proj Info'!B12</f>
        <v>0</v>
      </c>
      <c r="F6" s="377" t="s">
        <v>396</v>
      </c>
      <c r="G6" s="492"/>
    </row>
    <row r="7" spans="1:7">
      <c r="A7" s="372"/>
      <c r="B7" s="376"/>
      <c r="C7" s="376"/>
      <c r="D7" s="372"/>
      <c r="E7" s="376"/>
      <c r="F7" s="372"/>
      <c r="G7" s="376"/>
    </row>
    <row r="8" spans="1:7">
      <c r="A8" s="369" t="s">
        <v>397</v>
      </c>
      <c r="B8" s="625">
        <f>'Proj Info'!B10</f>
        <v>0</v>
      </c>
      <c r="C8" s="625"/>
      <c r="D8" s="369" t="s">
        <v>398</v>
      </c>
      <c r="E8" s="370">
        <f>'Proj Info'!B8</f>
        <v>0</v>
      </c>
      <c r="F8" s="378" t="s">
        <v>399</v>
      </c>
      <c r="G8" s="379">
        <f>'Proj Info'!B13</f>
        <v>0</v>
      </c>
    </row>
    <row r="9" spans="1:7">
      <c r="A9" s="369"/>
      <c r="B9" s="376"/>
      <c r="C9" s="376"/>
      <c r="D9" s="372"/>
      <c r="E9" s="380"/>
      <c r="F9" s="381"/>
      <c r="G9" s="376"/>
    </row>
    <row r="10" spans="1:7">
      <c r="A10" s="369" t="s">
        <v>400</v>
      </c>
      <c r="B10" s="382">
        <f>'Proj Info'!B28</f>
        <v>0</v>
      </c>
      <c r="C10" s="383"/>
      <c r="D10" s="369" t="s">
        <v>401</v>
      </c>
      <c r="E10" s="384">
        <f>'Proj Info'!B31</f>
        <v>0</v>
      </c>
      <c r="F10" s="369" t="s">
        <v>402</v>
      </c>
      <c r="G10" s="370">
        <f>'Proj Info'!B34</f>
        <v>0</v>
      </c>
    </row>
    <row r="11" spans="1:7">
      <c r="A11" s="372"/>
      <c r="B11" s="376"/>
      <c r="C11" s="376"/>
      <c r="D11" s="372"/>
      <c r="E11" s="376"/>
      <c r="F11" s="372"/>
      <c r="G11" s="376"/>
    </row>
    <row r="12" spans="1:7">
      <c r="A12" s="369" t="s">
        <v>403</v>
      </c>
      <c r="B12" s="370">
        <f>'Proj Info'!B37</f>
        <v>0</v>
      </c>
      <c r="C12" s="385"/>
      <c r="D12" s="369" t="s">
        <v>404</v>
      </c>
      <c r="E12" s="370">
        <f>'Proj Info'!B38</f>
        <v>0</v>
      </c>
      <c r="F12" s="378" t="s">
        <v>405</v>
      </c>
      <c r="G12" s="437"/>
    </row>
    <row r="13" spans="1:7">
      <c r="A13" s="369"/>
      <c r="B13" s="387"/>
      <c r="C13" s="385"/>
      <c r="D13" s="388"/>
      <c r="E13" s="387"/>
      <c r="F13" s="369"/>
      <c r="G13" s="389"/>
    </row>
    <row r="14" spans="1:7">
      <c r="A14" s="369" t="s">
        <v>406</v>
      </c>
      <c r="B14" s="370">
        <f>'Proj Info'!B61</f>
        <v>0</v>
      </c>
      <c r="C14" s="385"/>
      <c r="D14" s="369" t="s">
        <v>404</v>
      </c>
      <c r="E14" s="370">
        <f>'Proj Info'!B62</f>
        <v>0</v>
      </c>
      <c r="F14" s="378" t="s">
        <v>407</v>
      </c>
      <c r="G14" s="386">
        <f>'Proj Info'!B20</f>
        <v>0</v>
      </c>
    </row>
    <row r="15" spans="1:7">
      <c r="A15" s="369"/>
      <c r="B15" s="390"/>
      <c r="C15" s="373"/>
      <c r="D15" s="388"/>
      <c r="E15" s="391"/>
      <c r="F15" s="369"/>
      <c r="G15" s="389"/>
    </row>
    <row r="16" spans="1:7" ht="15.75" thickBot="1">
      <c r="A16" s="372"/>
      <c r="B16" s="372"/>
      <c r="C16" s="372"/>
      <c r="D16" s="372"/>
      <c r="E16" s="372"/>
      <c r="F16" s="372"/>
      <c r="G16" s="372"/>
    </row>
    <row r="17" spans="1:7" ht="17.25" thickTop="1">
      <c r="A17" s="392"/>
      <c r="B17" s="616" t="s">
        <v>408</v>
      </c>
      <c r="C17" s="616" t="s">
        <v>409</v>
      </c>
      <c r="D17" s="619" t="s">
        <v>410</v>
      </c>
      <c r="E17" s="619" t="s">
        <v>411</v>
      </c>
      <c r="F17" s="613" t="s">
        <v>283</v>
      </c>
      <c r="G17" s="373"/>
    </row>
    <row r="18" spans="1:7" ht="16.5">
      <c r="A18" s="393" t="s">
        <v>79</v>
      </c>
      <c r="B18" s="617"/>
      <c r="C18" s="617"/>
      <c r="D18" s="620"/>
      <c r="E18" s="622"/>
      <c r="F18" s="614"/>
      <c r="G18" s="373"/>
    </row>
    <row r="19" spans="1:7" ht="16.5">
      <c r="A19" s="393" t="s">
        <v>85</v>
      </c>
      <c r="B19" s="617"/>
      <c r="C19" s="617"/>
      <c r="D19" s="620"/>
      <c r="E19" s="622"/>
      <c r="F19" s="614"/>
      <c r="G19" s="373"/>
    </row>
    <row r="20" spans="1:7" ht="17.25" thickBot="1">
      <c r="A20" s="394"/>
      <c r="B20" s="618"/>
      <c r="C20" s="618"/>
      <c r="D20" s="621"/>
      <c r="E20" s="623"/>
      <c r="F20" s="615"/>
      <c r="G20" s="373"/>
    </row>
    <row r="21" spans="1:7" ht="17.25" thickTop="1">
      <c r="A21" s="349" t="s">
        <v>374</v>
      </c>
      <c r="B21" s="395">
        <f>100-'CPI Grad'!B10</f>
        <v>100</v>
      </c>
      <c r="C21" s="395">
        <f>100-'CPI Grad'!E10</f>
        <v>100</v>
      </c>
      <c r="D21" s="395">
        <f t="shared" ref="D21:D27" si="0">ABS(B21-C21)</f>
        <v>0</v>
      </c>
      <c r="E21" s="396">
        <f>IF(B21&lt;3.1,2,IF(B21&lt;10.1,3,IF(B21&lt;20.1,5,IF(B21&lt;30.1,6,IF(B21&lt;40.1,7,9)))))</f>
        <v>9</v>
      </c>
      <c r="F21" s="397" t="str">
        <f t="shared" ref="F21:F27" si="1">IF(D21&lt;E21,"Yes",IF(D21=E21,"Yes",IF(D21&gt;E21,"No",0)))</f>
        <v>Yes</v>
      </c>
      <c r="G21" s="373"/>
    </row>
    <row r="22" spans="1:7" ht="16.5">
      <c r="A22" s="349" t="s">
        <v>375</v>
      </c>
      <c r="B22" s="395">
        <f>'CPI Grad'!B10-'CPI Grad'!B11</f>
        <v>0</v>
      </c>
      <c r="C22" s="395">
        <f>'CPI Grad'!E10-'CPI Grad'!E11</f>
        <v>0</v>
      </c>
      <c r="D22" s="395">
        <f t="shared" si="0"/>
        <v>0</v>
      </c>
      <c r="E22" s="398">
        <f>IF(B22&lt;3.1,2,IF(B22&lt;10.1,3,IF(B22&lt;20.1,5,IF(B22&lt;30.1,6,IF(B22&lt;40.1,7,9)))))</f>
        <v>2</v>
      </c>
      <c r="F22" s="399" t="str">
        <f t="shared" si="1"/>
        <v>Yes</v>
      </c>
      <c r="G22" s="373"/>
    </row>
    <row r="23" spans="1:7" ht="16.5">
      <c r="A23" s="349" t="s">
        <v>376</v>
      </c>
      <c r="B23" s="395">
        <f>'CPI Grad'!B11-'CPI Grad'!B12</f>
        <v>0</v>
      </c>
      <c r="C23" s="395">
        <f>'CPI Grad'!E11-'CPI Grad'!E12</f>
        <v>0</v>
      </c>
      <c r="D23" s="395">
        <f t="shared" si="0"/>
        <v>0</v>
      </c>
      <c r="E23" s="398">
        <f>IF(B23&lt;3.1,2,IF(B23&lt;10.1,3,IF(B23&lt;20.1,5,IF(B23&lt;30.1,6,IF(B23&lt;40.1,7,9)))))</f>
        <v>2</v>
      </c>
      <c r="F23" s="399" t="str">
        <f t="shared" si="1"/>
        <v>Yes</v>
      </c>
      <c r="G23" s="373"/>
    </row>
    <row r="24" spans="1:7" ht="16.5">
      <c r="A24" s="349" t="s">
        <v>377</v>
      </c>
      <c r="B24" s="395">
        <f>'CPI Grad'!B12-'CPI Grad'!B13</f>
        <v>0</v>
      </c>
      <c r="C24" s="395">
        <f>'CPI Grad'!E12-'CPI Grad'!E13</f>
        <v>0</v>
      </c>
      <c r="D24" s="395">
        <f t="shared" si="0"/>
        <v>0</v>
      </c>
      <c r="E24" s="398">
        <f>IF(B24&lt;3.1,2,IF(B24&lt;10.1,3,IF(B24&lt;20.1,5,IF(B24&lt;30.1,6,IF(B24&lt;40.1,7,IF(B24&lt;50.1,9,0))))))</f>
        <v>2</v>
      </c>
      <c r="F24" s="399" t="str">
        <f t="shared" si="1"/>
        <v>Yes</v>
      </c>
      <c r="G24" s="373"/>
    </row>
    <row r="25" spans="1:7" ht="16.5">
      <c r="A25" s="349" t="s">
        <v>378</v>
      </c>
      <c r="B25" s="395">
        <f>'CPI Grad'!B13-'CPI Grad'!B14</f>
        <v>0</v>
      </c>
      <c r="C25" s="395">
        <f>'CPI Grad'!E13-'CPI Grad'!E14</f>
        <v>0</v>
      </c>
      <c r="D25" s="395">
        <f t="shared" si="0"/>
        <v>0</v>
      </c>
      <c r="E25" s="398">
        <f>IF(B25&lt;3.1,2,IF(B25&lt;10.1,3,IF(B25&lt;20.1,5,IF(B25&lt;30.1,6,IF(B25&lt;40.1,7,9)))))</f>
        <v>2</v>
      </c>
      <c r="F25" s="399" t="str">
        <f t="shared" si="1"/>
        <v>Yes</v>
      </c>
      <c r="G25" s="373"/>
    </row>
    <row r="26" spans="1:7" ht="16.5">
      <c r="A26" s="349" t="s">
        <v>379</v>
      </c>
      <c r="B26" s="395">
        <f>'CPI Grad'!B14-'CPI Grad'!B15</f>
        <v>0</v>
      </c>
      <c r="C26" s="395">
        <f>'CPI Grad'!E14-'CPI Grad'!E15</f>
        <v>0</v>
      </c>
      <c r="D26" s="395">
        <f t="shared" si="0"/>
        <v>0</v>
      </c>
      <c r="E26" s="400">
        <f>IF(B26&lt;3.1,2,IF(B26&lt;10.1,3,IF(B26&lt;20.1,5,IF(B26&lt;30.1,6,IF(B26&lt;40.1,7,9)))))</f>
        <v>2</v>
      </c>
      <c r="F26" s="399" t="str">
        <f t="shared" si="1"/>
        <v>Yes</v>
      </c>
      <c r="G26" s="373"/>
    </row>
    <row r="27" spans="1:7" ht="16.5">
      <c r="A27" s="349" t="s">
        <v>380</v>
      </c>
      <c r="B27" s="395">
        <f>'CPI Grad'!B15-'CPI Grad'!B16</f>
        <v>0</v>
      </c>
      <c r="C27" s="395">
        <f>'CPI Grad'!E15-'CPI Grad'!E16</f>
        <v>0</v>
      </c>
      <c r="D27" s="401">
        <f t="shared" si="0"/>
        <v>0</v>
      </c>
      <c r="E27" s="402">
        <f>IF(B27&lt;3.1,1,IF(B27&lt;10.1,2,IF(B27&lt;20.1,3,IF(B27&lt;30.1,4,IF(B27&lt;40.1,4,IF(B27&lt;50.1,4,0))))))</f>
        <v>1</v>
      </c>
      <c r="F27" s="399" t="str">
        <f t="shared" si="1"/>
        <v>Yes</v>
      </c>
      <c r="G27" s="373"/>
    </row>
    <row r="28" spans="1:7" ht="16.5">
      <c r="A28" s="349" t="s">
        <v>381</v>
      </c>
      <c r="B28" s="432"/>
      <c r="C28" s="433"/>
      <c r="D28" s="433"/>
      <c r="E28" s="434"/>
      <c r="F28" s="435"/>
      <c r="G28" s="373"/>
    </row>
    <row r="29" spans="1:7" ht="16.5">
      <c r="A29" s="349" t="s">
        <v>382</v>
      </c>
      <c r="B29" s="432"/>
      <c r="C29" s="433"/>
      <c r="D29" s="433"/>
      <c r="E29" s="434"/>
      <c r="F29" s="435"/>
      <c r="G29" s="373"/>
    </row>
    <row r="30" spans="1:7" ht="16.5">
      <c r="A30" s="349" t="s">
        <v>383</v>
      </c>
      <c r="B30" s="432"/>
      <c r="C30" s="433"/>
      <c r="D30" s="433"/>
      <c r="E30" s="434"/>
      <c r="F30" s="435"/>
      <c r="G30" s="373"/>
    </row>
    <row r="31" spans="1:7" ht="16.5">
      <c r="A31" s="349" t="s">
        <v>384</v>
      </c>
      <c r="B31" s="432"/>
      <c r="C31" s="433"/>
      <c r="D31" s="433"/>
      <c r="E31" s="434"/>
      <c r="F31" s="435"/>
      <c r="G31" s="373"/>
    </row>
    <row r="32" spans="1:7" ht="17.25" thickBot="1">
      <c r="A32" s="403" t="s">
        <v>412</v>
      </c>
      <c r="B32" s="404">
        <f>'CPI Grad'!B21</f>
        <v>0</v>
      </c>
      <c r="C32" s="404">
        <f>'CPI Grad'!E21</f>
        <v>0</v>
      </c>
      <c r="D32" s="405">
        <f>ABS(B32-C32)</f>
        <v>0</v>
      </c>
      <c r="E32" s="406">
        <f>IF(B32&lt;3.1,1,IF(B32&lt;10.1,2,IF(B32&lt;20.1,3,IF(B32&lt;30.1,4,IF(B32&lt;40.1,4,IF(B32&lt;50.1,4,0))))))</f>
        <v>1</v>
      </c>
      <c r="F32" s="407" t="str">
        <f>IF(D32&lt;E32,"Yes",IF(D32=E32,"Yes",IF(D32&gt;E32,"No",0)))</f>
        <v>Yes</v>
      </c>
      <c r="G32" s="373"/>
    </row>
    <row r="33" spans="1:7" ht="17.25" thickTop="1">
      <c r="A33" s="408"/>
      <c r="B33" s="409"/>
      <c r="C33" s="409"/>
      <c r="D33" s="409"/>
      <c r="E33" s="410"/>
      <c r="F33" s="410"/>
      <c r="G33" s="373"/>
    </row>
    <row r="34" spans="1:7" ht="16.5">
      <c r="A34" s="411"/>
      <c r="B34" s="409"/>
      <c r="C34" s="409"/>
      <c r="D34" s="409"/>
      <c r="E34" s="410"/>
      <c r="F34" s="410"/>
      <c r="G34" s="373"/>
    </row>
    <row r="35" spans="1:7" ht="15.75" thickBot="1">
      <c r="A35" s="372"/>
      <c r="B35" s="372"/>
      <c r="C35" s="372"/>
      <c r="D35" s="372"/>
      <c r="E35" s="372"/>
      <c r="F35" s="372"/>
      <c r="G35" s="372"/>
    </row>
    <row r="36" spans="1:7" ht="17.25" thickTop="1">
      <c r="A36" s="392"/>
      <c r="B36" s="616" t="s">
        <v>413</v>
      </c>
      <c r="C36" s="616" t="s">
        <v>414</v>
      </c>
      <c r="D36" s="619" t="s">
        <v>410</v>
      </c>
      <c r="E36" s="619" t="s">
        <v>411</v>
      </c>
      <c r="F36" s="613" t="s">
        <v>283</v>
      </c>
      <c r="G36" s="373"/>
    </row>
    <row r="37" spans="1:7" ht="16.5">
      <c r="A37" s="393" t="s">
        <v>79</v>
      </c>
      <c r="B37" s="617"/>
      <c r="C37" s="617"/>
      <c r="D37" s="620"/>
      <c r="E37" s="622"/>
      <c r="F37" s="614"/>
      <c r="G37" s="373"/>
    </row>
    <row r="38" spans="1:7" ht="16.5">
      <c r="A38" s="393" t="s">
        <v>85</v>
      </c>
      <c r="B38" s="617"/>
      <c r="C38" s="617"/>
      <c r="D38" s="620"/>
      <c r="E38" s="622"/>
      <c r="F38" s="614"/>
      <c r="G38" s="373"/>
    </row>
    <row r="39" spans="1:7" ht="16.5">
      <c r="A39" s="393"/>
      <c r="B39" s="617"/>
      <c r="C39" s="617"/>
      <c r="D39" s="620"/>
      <c r="E39" s="622"/>
      <c r="F39" s="614"/>
      <c r="G39" s="373"/>
    </row>
    <row r="40" spans="1:7" ht="17.25" thickBot="1">
      <c r="A40" s="394"/>
      <c r="B40" s="618"/>
      <c r="C40" s="618"/>
      <c r="D40" s="621"/>
      <c r="E40" s="623"/>
      <c r="F40" s="615"/>
      <c r="G40" s="373"/>
    </row>
    <row r="41" spans="1:7" ht="17.25" thickTop="1">
      <c r="A41" s="349" t="s">
        <v>374</v>
      </c>
      <c r="B41" s="395">
        <f>100-'CPI Grad'!C10</f>
        <v>100</v>
      </c>
      <c r="C41" s="395">
        <f>100-'CPI Grad'!F10</f>
        <v>100</v>
      </c>
      <c r="D41" s="395">
        <f t="shared" ref="D41:D47" si="2">ABS(B41-C41)</f>
        <v>0</v>
      </c>
      <c r="E41" s="396">
        <f t="shared" ref="E41:E46" si="3">IF(B41&lt;3.1,2,IF(B41&lt;10.1,3,IF(B41&lt;20.1,5,IF(B41&lt;30.1,6,IF(B41&lt;40.1,7,IF(B41&lt;90.1,9,0))))))</f>
        <v>0</v>
      </c>
      <c r="F41" s="397" t="str">
        <f t="shared" ref="F41:F47" si="4">IF(D41&lt;E41,"Yes",IF(D41=E41,"Yes",IF(D41&gt;E41,"No",0)))</f>
        <v>Yes</v>
      </c>
      <c r="G41" s="373"/>
    </row>
    <row r="42" spans="1:7" ht="16.5">
      <c r="A42" s="349" t="s">
        <v>375</v>
      </c>
      <c r="B42" s="395">
        <f>'CPI Grad'!C10-'CPI Grad'!C11</f>
        <v>0</v>
      </c>
      <c r="C42" s="395">
        <f>'CPI Grad'!F10-'CPI Grad'!F11</f>
        <v>0</v>
      </c>
      <c r="D42" s="395">
        <f t="shared" si="2"/>
        <v>0</v>
      </c>
      <c r="E42" s="398">
        <f t="shared" si="3"/>
        <v>2</v>
      </c>
      <c r="F42" s="399" t="str">
        <f t="shared" si="4"/>
        <v>Yes</v>
      </c>
      <c r="G42" s="373"/>
    </row>
    <row r="43" spans="1:7" ht="16.5">
      <c r="A43" s="349" t="s">
        <v>376</v>
      </c>
      <c r="B43" s="395">
        <f>'CPI Grad'!C11-'CPI Grad'!C12</f>
        <v>0</v>
      </c>
      <c r="C43" s="395">
        <f>'CPI Grad'!F11-'CPI Grad'!F12</f>
        <v>0</v>
      </c>
      <c r="D43" s="395">
        <f t="shared" si="2"/>
        <v>0</v>
      </c>
      <c r="E43" s="398">
        <f t="shared" si="3"/>
        <v>2</v>
      </c>
      <c r="F43" s="399" t="str">
        <f t="shared" si="4"/>
        <v>Yes</v>
      </c>
      <c r="G43" s="373"/>
    </row>
    <row r="44" spans="1:7" ht="16.5">
      <c r="A44" s="349" t="s">
        <v>377</v>
      </c>
      <c r="B44" s="395">
        <f>'CPI Grad'!C12-'CPI Grad'!C13</f>
        <v>0</v>
      </c>
      <c r="C44" s="395">
        <f>'CPI Grad'!F12-'CPI Grad'!F13</f>
        <v>0</v>
      </c>
      <c r="D44" s="395">
        <f t="shared" si="2"/>
        <v>0</v>
      </c>
      <c r="E44" s="398">
        <f t="shared" si="3"/>
        <v>2</v>
      </c>
      <c r="F44" s="399" t="str">
        <f t="shared" si="4"/>
        <v>Yes</v>
      </c>
      <c r="G44" s="373"/>
    </row>
    <row r="45" spans="1:7" ht="16.5">
      <c r="A45" s="349" t="s">
        <v>378</v>
      </c>
      <c r="B45" s="395">
        <f>'CPI Grad'!C13-'CPI Grad'!C14</f>
        <v>0</v>
      </c>
      <c r="C45" s="395">
        <f>'CPI Grad'!F13-'CPI Grad'!F14</f>
        <v>0</v>
      </c>
      <c r="D45" s="395">
        <f t="shared" si="2"/>
        <v>0</v>
      </c>
      <c r="E45" s="398">
        <f t="shared" si="3"/>
        <v>2</v>
      </c>
      <c r="F45" s="399" t="str">
        <f t="shared" si="4"/>
        <v>Yes</v>
      </c>
      <c r="G45" s="373"/>
    </row>
    <row r="46" spans="1:7" ht="16.5">
      <c r="A46" s="349" t="s">
        <v>379</v>
      </c>
      <c r="B46" s="395">
        <f>'CPI Grad'!C14-'CPI Grad'!C15</f>
        <v>0</v>
      </c>
      <c r="C46" s="395">
        <f>'CPI Grad'!F14-'CPI Grad'!F15</f>
        <v>0</v>
      </c>
      <c r="D46" s="395">
        <f t="shared" si="2"/>
        <v>0</v>
      </c>
      <c r="E46" s="400">
        <f t="shared" si="3"/>
        <v>2</v>
      </c>
      <c r="F46" s="399" t="str">
        <f t="shared" si="4"/>
        <v>Yes</v>
      </c>
      <c r="G46" s="373"/>
    </row>
    <row r="47" spans="1:7" ht="16.5">
      <c r="A47" s="349" t="s">
        <v>380</v>
      </c>
      <c r="B47" s="395">
        <f>'CPI Grad'!C15-'CPI Grad'!C16</f>
        <v>0</v>
      </c>
      <c r="C47" s="395">
        <f>'CPI Grad'!F15-'CPI Grad'!F16</f>
        <v>0</v>
      </c>
      <c r="D47" s="401">
        <f t="shared" si="2"/>
        <v>0</v>
      </c>
      <c r="E47" s="402">
        <f>IF(B47&lt;3.1,1,IF(B47&lt;10.1,2,IF(B47&lt;20.1,3,IF(B47&lt;30.1,4,IF(B47&lt;40.1,4,IF(B47&lt;90.1,4,0))))))</f>
        <v>1</v>
      </c>
      <c r="F47" s="399" t="str">
        <f t="shared" si="4"/>
        <v>Yes</v>
      </c>
      <c r="G47" s="373"/>
    </row>
    <row r="48" spans="1:7" ht="16.5">
      <c r="A48" s="349" t="s">
        <v>381</v>
      </c>
      <c r="B48" s="432"/>
      <c r="C48" s="433"/>
      <c r="D48" s="433"/>
      <c r="E48" s="434"/>
      <c r="F48" s="435"/>
      <c r="G48" s="373"/>
    </row>
    <row r="49" spans="1:7" ht="16.5">
      <c r="A49" s="349" t="s">
        <v>382</v>
      </c>
      <c r="B49" s="432"/>
      <c r="C49" s="433"/>
      <c r="D49" s="433"/>
      <c r="E49" s="434"/>
      <c r="F49" s="435"/>
      <c r="G49" s="373"/>
    </row>
    <row r="50" spans="1:7" ht="16.5">
      <c r="A50" s="349" t="s">
        <v>383</v>
      </c>
      <c r="B50" s="432"/>
      <c r="C50" s="433"/>
      <c r="D50" s="433"/>
      <c r="E50" s="434"/>
      <c r="F50" s="435"/>
      <c r="G50" s="373"/>
    </row>
    <row r="51" spans="1:7" ht="16.5">
      <c r="A51" s="349" t="s">
        <v>384</v>
      </c>
      <c r="B51" s="432"/>
      <c r="C51" s="433"/>
      <c r="D51" s="433"/>
      <c r="E51" s="434"/>
      <c r="F51" s="435"/>
      <c r="G51" s="373"/>
    </row>
    <row r="52" spans="1:7" ht="17.25" thickBot="1">
      <c r="A52" s="403" t="s">
        <v>412</v>
      </c>
      <c r="B52" s="404">
        <f>'CPI Grad'!C21</f>
        <v>0</v>
      </c>
      <c r="C52" s="404">
        <f>'CPI Grad'!F21</f>
        <v>0</v>
      </c>
      <c r="D52" s="405">
        <f>ABS(B52-C52)</f>
        <v>0</v>
      </c>
      <c r="E52" s="406">
        <f>IF(B52&lt;3.1,1,IF(B52&lt;10.1,2,IF(B52&lt;20.1,3,IF(B52&lt;30.1,4,IF(B52&lt;40.1,4,IF(B52&lt;50.1,4,0))))))</f>
        <v>1</v>
      </c>
      <c r="F52" s="407" t="str">
        <f>IF(D52&lt;E52,"Yes",IF(D52=E52,"Yes",IF(D52&gt;E52,"No",0)))</f>
        <v>Yes</v>
      </c>
      <c r="G52" s="373"/>
    </row>
    <row r="53" spans="1:7" ht="17.25" thickTop="1">
      <c r="A53" s="411"/>
      <c r="B53" s="409"/>
      <c r="C53" s="409"/>
      <c r="D53" s="409"/>
      <c r="E53" s="410"/>
      <c r="F53" s="410"/>
      <c r="G53" s="373"/>
    </row>
    <row r="54" spans="1:7">
      <c r="A54" s="373"/>
      <c r="B54" s="373"/>
      <c r="C54" s="373"/>
      <c r="D54" s="373"/>
      <c r="E54" s="373"/>
      <c r="F54" s="373"/>
      <c r="G54" s="373"/>
    </row>
    <row r="55" spans="1:7" ht="15.75" thickBot="1">
      <c r="A55" s="373"/>
      <c r="B55" s="373"/>
      <c r="C55" s="373"/>
      <c r="D55" s="373"/>
      <c r="E55" s="373"/>
      <c r="F55" s="373"/>
      <c r="G55" s="373"/>
    </row>
    <row r="56" spans="1:7" ht="17.25" thickTop="1">
      <c r="A56" s="392"/>
      <c r="B56" s="616" t="s">
        <v>415</v>
      </c>
      <c r="C56" s="616" t="s">
        <v>416</v>
      </c>
      <c r="D56" s="619" t="s">
        <v>410</v>
      </c>
      <c r="E56" s="619" t="s">
        <v>411</v>
      </c>
      <c r="F56" s="613" t="s">
        <v>283</v>
      </c>
      <c r="G56" s="373"/>
    </row>
    <row r="57" spans="1:7" ht="16.5">
      <c r="A57" s="393" t="s">
        <v>79</v>
      </c>
      <c r="B57" s="617"/>
      <c r="C57" s="617"/>
      <c r="D57" s="620"/>
      <c r="E57" s="622"/>
      <c r="F57" s="614"/>
      <c r="G57" s="373"/>
    </row>
    <row r="58" spans="1:7" ht="16.5">
      <c r="A58" s="393" t="s">
        <v>85</v>
      </c>
      <c r="B58" s="617"/>
      <c r="C58" s="617"/>
      <c r="D58" s="620"/>
      <c r="E58" s="622"/>
      <c r="F58" s="614"/>
      <c r="G58" s="373"/>
    </row>
    <row r="59" spans="1:7" ht="17.25" thickBot="1">
      <c r="A59" s="394"/>
      <c r="B59" s="618"/>
      <c r="C59" s="618"/>
      <c r="D59" s="621"/>
      <c r="E59" s="623"/>
      <c r="F59" s="615"/>
      <c r="G59" s="373"/>
    </row>
    <row r="60" spans="1:7" ht="17.25" thickTop="1">
      <c r="A60" s="349" t="s">
        <v>378</v>
      </c>
      <c r="B60" s="395">
        <f>100-'CPI Grad'!D14</f>
        <v>100</v>
      </c>
      <c r="C60" s="395">
        <f>100-'CPI Grad'!G14</f>
        <v>100</v>
      </c>
      <c r="D60" s="395">
        <f t="shared" ref="D60:D67" si="5">ABS(B60-C60)</f>
        <v>0</v>
      </c>
      <c r="E60" s="398">
        <f>IF(B60&lt;3.1,2,IF(B60&lt;10.1,3,IF(B60&lt;20.1,5,IF(B60&lt;30.1,6,IF(B60&lt;40.1,7,IF(B60&lt;50.1,9,0))))))</f>
        <v>0</v>
      </c>
      <c r="F60" s="399" t="str">
        <f t="shared" ref="F60:F67" si="6">IF(D60&lt;E60,"Yes",IF(D60=E60,"Yes",IF(D60&gt;E60,"No",0)))</f>
        <v>Yes</v>
      </c>
      <c r="G60" s="373"/>
    </row>
    <row r="61" spans="1:7" ht="16.5">
      <c r="A61" s="349" t="s">
        <v>379</v>
      </c>
      <c r="B61" s="395">
        <f>'CPI Grad'!D14-'CPI Grad'!D15</f>
        <v>0</v>
      </c>
      <c r="C61" s="395">
        <f>'CPI Grad'!G14-'CPI Grad'!G15</f>
        <v>0</v>
      </c>
      <c r="D61" s="395">
        <f t="shared" si="5"/>
        <v>0</v>
      </c>
      <c r="E61" s="398">
        <f>IF(B61&lt;3.1,2,IF(B61&lt;10.1,3,IF(B61&lt;20.1,5,IF(B61&lt;30.1,6,IF(B61&lt;40.1,7,IF(B61&lt;50.1,9,0))))))</f>
        <v>2</v>
      </c>
      <c r="F61" s="399" t="str">
        <f t="shared" si="6"/>
        <v>Yes</v>
      </c>
      <c r="G61" s="373"/>
    </row>
    <row r="62" spans="1:7" ht="16.5">
      <c r="A62" s="349" t="s">
        <v>380</v>
      </c>
      <c r="B62" s="395">
        <f>'CPI Grad'!D15-'CPI Grad'!D16</f>
        <v>0</v>
      </c>
      <c r="C62" s="395">
        <f>'CPI Grad'!G15-'CPI Grad'!G16</f>
        <v>0</v>
      </c>
      <c r="D62" s="395">
        <f t="shared" si="5"/>
        <v>0</v>
      </c>
      <c r="E62" s="398">
        <f t="shared" ref="E62:E67" si="7">IF(B62&lt;3.1,1,IF(B62&lt;10.1,2,IF(B62&lt;20.1,3,IF(B62&lt;30.1,4,IF(B62&lt;40.1,4,IF(B62&lt;50.1,4,0))))))</f>
        <v>1</v>
      </c>
      <c r="F62" s="399" t="str">
        <f t="shared" si="6"/>
        <v>Yes</v>
      </c>
      <c r="G62" s="373"/>
    </row>
    <row r="63" spans="1:7" ht="16.5">
      <c r="A63" s="349" t="s">
        <v>381</v>
      </c>
      <c r="B63" s="395">
        <f>'CPI Grad'!D16-'CPI Grad'!D17</f>
        <v>0</v>
      </c>
      <c r="C63" s="395">
        <f>'CPI Grad'!G16-'CPI Grad'!G17</f>
        <v>0</v>
      </c>
      <c r="D63" s="395">
        <f t="shared" si="5"/>
        <v>0</v>
      </c>
      <c r="E63" s="398">
        <f t="shared" si="7"/>
        <v>1</v>
      </c>
      <c r="F63" s="399" t="str">
        <f t="shared" si="6"/>
        <v>Yes</v>
      </c>
      <c r="G63" s="373"/>
    </row>
    <row r="64" spans="1:7" ht="16.5">
      <c r="A64" s="349" t="s">
        <v>382</v>
      </c>
      <c r="B64" s="395">
        <f>'CPI Grad'!D17-'CPI Grad'!D18</f>
        <v>0</v>
      </c>
      <c r="C64" s="395">
        <f>'CPI Grad'!G17-'CPI Grad'!G18</f>
        <v>0</v>
      </c>
      <c r="D64" s="395">
        <f t="shared" si="5"/>
        <v>0</v>
      </c>
      <c r="E64" s="398">
        <f t="shared" si="7"/>
        <v>1</v>
      </c>
      <c r="F64" s="399" t="str">
        <f t="shared" si="6"/>
        <v>Yes</v>
      </c>
      <c r="G64" s="373"/>
    </row>
    <row r="65" spans="1:7" ht="16.5">
      <c r="A65" s="349" t="s">
        <v>383</v>
      </c>
      <c r="B65" s="395">
        <f>'CPI Grad'!D18-'CPI Grad'!D19</f>
        <v>0</v>
      </c>
      <c r="C65" s="395">
        <f>'CPI Grad'!G18-'CPI Grad'!G19</f>
        <v>0</v>
      </c>
      <c r="D65" s="395">
        <f t="shared" si="5"/>
        <v>0</v>
      </c>
      <c r="E65" s="398">
        <f t="shared" si="7"/>
        <v>1</v>
      </c>
      <c r="F65" s="399" t="str">
        <f t="shared" si="6"/>
        <v>Yes</v>
      </c>
      <c r="G65" s="372"/>
    </row>
    <row r="66" spans="1:7" ht="16.5">
      <c r="A66" s="349" t="s">
        <v>384</v>
      </c>
      <c r="B66" s="412">
        <f>'CPI Grad'!D19-'CPI Grad'!D20</f>
        <v>0</v>
      </c>
      <c r="C66" s="412">
        <f>'CPI Grad'!G19-'CPI Grad'!G20</f>
        <v>0</v>
      </c>
      <c r="D66" s="395">
        <f t="shared" si="5"/>
        <v>0</v>
      </c>
      <c r="E66" s="398">
        <f t="shared" si="7"/>
        <v>1</v>
      </c>
      <c r="F66" s="399" t="str">
        <f t="shared" si="6"/>
        <v>Yes</v>
      </c>
      <c r="G66" s="373"/>
    </row>
    <row r="67" spans="1:7" ht="17.25" thickBot="1">
      <c r="A67" s="403" t="s">
        <v>412</v>
      </c>
      <c r="B67" s="413">
        <f>'CPI Grad'!D21</f>
        <v>0</v>
      </c>
      <c r="C67" s="413">
        <f>'CPI Grad'!G21</f>
        <v>0</v>
      </c>
      <c r="D67" s="405">
        <f t="shared" si="5"/>
        <v>0</v>
      </c>
      <c r="E67" s="414">
        <f t="shared" si="7"/>
        <v>1</v>
      </c>
      <c r="F67" s="415" t="str">
        <f t="shared" si="6"/>
        <v>Yes</v>
      </c>
      <c r="G67" s="373"/>
    </row>
    <row r="68" spans="1:7" ht="17.25" thickTop="1">
      <c r="A68" s="411"/>
      <c r="B68" s="409"/>
      <c r="C68" s="409"/>
      <c r="D68" s="409"/>
      <c r="E68" s="410"/>
      <c r="F68" s="410"/>
      <c r="G68" s="372"/>
    </row>
    <row r="69" spans="1:7" ht="16.5">
      <c r="A69" s="416"/>
      <c r="B69" s="425" t="s">
        <v>426</v>
      </c>
      <c r="C69" s="425" t="s">
        <v>427</v>
      </c>
      <c r="D69" s="436" t="s">
        <v>428</v>
      </c>
      <c r="E69" s="373"/>
      <c r="F69" s="373"/>
      <c r="G69" s="373"/>
    </row>
    <row r="70" spans="1:7" ht="16.5">
      <c r="A70" s="418" t="s">
        <v>417</v>
      </c>
      <c r="B70" s="493"/>
      <c r="C70" s="493"/>
      <c r="D70" s="494"/>
      <c r="E70" s="439" t="s">
        <v>418</v>
      </c>
      <c r="F70" s="423"/>
      <c r="G70" s="438"/>
    </row>
    <row r="71" spans="1:7" ht="16.5">
      <c r="A71" s="421"/>
      <c r="B71" s="495"/>
      <c r="C71" s="495"/>
      <c r="D71" s="495"/>
      <c r="E71" s="422" t="s">
        <v>388</v>
      </c>
      <c r="F71" s="423"/>
      <c r="G71" s="424"/>
    </row>
    <row r="72" spans="1:7" ht="16.5">
      <c r="A72" s="418" t="s">
        <v>419</v>
      </c>
      <c r="B72" s="493"/>
      <c r="C72" s="493"/>
      <c r="D72" s="494"/>
      <c r="E72" s="422" t="s">
        <v>388</v>
      </c>
      <c r="F72" s="426"/>
      <c r="G72" s="426"/>
    </row>
    <row r="73" spans="1:7" ht="16.5">
      <c r="A73" s="427"/>
      <c r="B73" s="496"/>
      <c r="C73" s="495"/>
      <c r="D73" s="495"/>
      <c r="E73" s="422" t="s">
        <v>388</v>
      </c>
      <c r="F73" s="428"/>
      <c r="G73" s="428"/>
    </row>
    <row r="74" spans="1:7" ht="16.5">
      <c r="A74" s="429" t="s">
        <v>420</v>
      </c>
      <c r="B74" s="493"/>
      <c r="C74" s="493"/>
      <c r="D74" s="494"/>
      <c r="E74" s="422" t="s">
        <v>388</v>
      </c>
      <c r="F74" s="428"/>
      <c r="G74" s="428"/>
    </row>
    <row r="75" spans="1:7" ht="16.5">
      <c r="A75" s="421"/>
      <c r="B75" s="496"/>
      <c r="C75" s="495"/>
      <c r="D75" s="495"/>
      <c r="E75" s="422" t="s">
        <v>388</v>
      </c>
      <c r="F75" s="428"/>
      <c r="G75" s="428"/>
    </row>
    <row r="76" spans="1:7" ht="16.5">
      <c r="A76" s="418" t="s">
        <v>421</v>
      </c>
      <c r="B76" s="493"/>
      <c r="C76" s="493"/>
      <c r="D76" s="494"/>
      <c r="E76" s="422" t="s">
        <v>388</v>
      </c>
      <c r="F76" s="428"/>
      <c r="G76" s="428"/>
    </row>
    <row r="77" spans="1:7" ht="16.5">
      <c r="A77" s="421"/>
      <c r="B77" s="495"/>
      <c r="C77" s="495"/>
      <c r="D77" s="495"/>
      <c r="E77" s="422" t="s">
        <v>388</v>
      </c>
      <c r="F77" s="428"/>
      <c r="G77" s="428"/>
    </row>
    <row r="78" spans="1:7" ht="16.5">
      <c r="A78" s="418" t="s">
        <v>422</v>
      </c>
      <c r="B78" s="493"/>
      <c r="C78" s="493"/>
      <c r="D78" s="494"/>
      <c r="E78" s="416"/>
      <c r="F78" s="416"/>
      <c r="G78" s="416"/>
    </row>
    <row r="79" spans="1:7">
      <c r="A79" s="421"/>
      <c r="B79" s="495"/>
      <c r="C79" s="495"/>
      <c r="D79" s="495"/>
      <c r="E79" s="416"/>
      <c r="F79" s="416"/>
      <c r="G79" s="416"/>
    </row>
    <row r="80" spans="1:7" ht="16.5">
      <c r="A80" s="418" t="s">
        <v>423</v>
      </c>
      <c r="B80" s="493"/>
      <c r="C80" s="493"/>
      <c r="D80" s="494"/>
      <c r="E80" s="419" t="s">
        <v>390</v>
      </c>
      <c r="F80" s="420"/>
      <c r="G80" s="430"/>
    </row>
    <row r="81" spans="1:7">
      <c r="A81" s="416"/>
      <c r="B81" s="417"/>
      <c r="C81" s="417"/>
      <c r="D81" s="417"/>
      <c r="E81" s="417"/>
      <c r="F81" s="373"/>
      <c r="G81" s="373"/>
    </row>
    <row r="82" spans="1:7">
      <c r="A82" s="416"/>
      <c r="C82" s="417"/>
      <c r="D82" s="417"/>
      <c r="E82" s="417"/>
      <c r="F82" s="373"/>
      <c r="G82" s="373"/>
    </row>
    <row r="83" spans="1:7">
      <c r="A83" s="416"/>
      <c r="B83" s="417"/>
      <c r="C83" s="416"/>
      <c r="D83" s="417"/>
      <c r="E83" s="417"/>
      <c r="F83" s="373"/>
      <c r="G83" s="373"/>
    </row>
    <row r="84" spans="1:7">
      <c r="A84" s="416"/>
      <c r="B84" s="416"/>
      <c r="C84" s="416"/>
      <c r="D84" s="417"/>
      <c r="E84" s="417"/>
      <c r="F84" s="373"/>
      <c r="G84" s="373"/>
    </row>
  </sheetData>
  <sheetProtection algorithmName="SHA-512" hashValue="d+W67m+luR9+XwzVFuqLCLtJD045WadpnFo8eCu0pal5cVyCY813p8nxPn/97STpjmKFtcb+DfOry618rq+uXQ==" saltValue="UuZfNLSGnxcOSbWUnM/oKQ==" spinCount="100000" sheet="1" objects="1" scenarios="1"/>
  <mergeCells count="22">
    <mergeCell ref="F36:F40"/>
    <mergeCell ref="D36:D40"/>
    <mergeCell ref="B36:B40"/>
    <mergeCell ref="E36:E40"/>
    <mergeCell ref="C36:C40"/>
    <mergeCell ref="E17:E20"/>
    <mergeCell ref="A1:G1"/>
    <mergeCell ref="B2:C2"/>
    <mergeCell ref="B3:C3"/>
    <mergeCell ref="B4:C4"/>
    <mergeCell ref="D17:D20"/>
    <mergeCell ref="B6:C6"/>
    <mergeCell ref="B5:C5"/>
    <mergeCell ref="B17:B20"/>
    <mergeCell ref="C17:C20"/>
    <mergeCell ref="B8:C8"/>
    <mergeCell ref="F17:F20"/>
    <mergeCell ref="F56:F59"/>
    <mergeCell ref="B56:B59"/>
    <mergeCell ref="C56:C59"/>
    <mergeCell ref="D56:D59"/>
    <mergeCell ref="E56:E59"/>
  </mergeCells>
  <phoneticPr fontId="48" type="noConversion"/>
  <pageMargins left="0.75" right="0.75" top="1" bottom="1" header="0.5" footer="0.5"/>
  <pageSetup scale="46" orientation="portrait" horizontalDpi="4294967294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0"/>
  <sheetViews>
    <sheetView view="pageBreakPreview" zoomScaleNormal="100" workbookViewId="0">
      <selection activeCell="F11" sqref="F11:J11"/>
    </sheetView>
  </sheetViews>
  <sheetFormatPr defaultColWidth="7.5546875" defaultRowHeight="15"/>
  <cols>
    <col min="1" max="1" width="9.44140625" customWidth="1"/>
    <col min="2" max="3" width="6.77734375" customWidth="1"/>
    <col min="4" max="4" width="6" customWidth="1"/>
    <col min="5" max="6" width="5.21875" customWidth="1"/>
    <col min="7" max="7" width="6" customWidth="1"/>
    <col min="8" max="11" width="5.21875" customWidth="1"/>
    <col min="12" max="13" width="6.77734375" customWidth="1"/>
    <col min="14" max="14" width="8.33203125" customWidth="1"/>
    <col min="15" max="15" width="6.77734375" customWidth="1"/>
    <col min="16" max="16" width="5.21875" customWidth="1"/>
  </cols>
  <sheetData>
    <row r="1" spans="1:17" ht="19.899999999999999" customHeight="1">
      <c r="A1" s="217" t="s">
        <v>549</v>
      </c>
      <c r="B1" s="626" t="s">
        <v>327</v>
      </c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  <c r="P1" s="238" t="s">
        <v>328</v>
      </c>
    </row>
    <row r="2" spans="1:17" ht="19.899999999999999" customHeight="1">
      <c r="A2" s="222" t="s">
        <v>550</v>
      </c>
      <c r="B2" s="538"/>
      <c r="C2" s="232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</row>
    <row r="3" spans="1:17" ht="19.899999999999999" customHeight="1">
      <c r="A3" s="281" t="s">
        <v>329</v>
      </c>
      <c r="B3" s="539"/>
      <c r="C3" s="266"/>
      <c r="D3" s="2"/>
      <c r="E3" s="2"/>
      <c r="F3" s="2"/>
      <c r="G3" s="2"/>
      <c r="H3" s="2"/>
      <c r="I3" s="2"/>
      <c r="J3" s="222"/>
      <c r="K3" s="222"/>
      <c r="L3" s="222"/>
      <c r="M3" s="222"/>
      <c r="N3" s="222" t="s">
        <v>237</v>
      </c>
      <c r="O3" s="539"/>
      <c r="P3" s="540"/>
      <c r="Q3" s="221"/>
    </row>
    <row r="4" spans="1:17" ht="19.899999999999999" customHeight="1">
      <c r="A4" s="281" t="s">
        <v>330</v>
      </c>
      <c r="B4" s="539"/>
      <c r="C4" s="266"/>
      <c r="D4" s="266"/>
      <c r="E4" s="2"/>
      <c r="F4" s="2"/>
      <c r="G4" s="2"/>
      <c r="H4" s="2"/>
      <c r="I4" s="2"/>
      <c r="J4" s="2"/>
      <c r="K4" s="219"/>
      <c r="L4" s="219"/>
      <c r="N4" s="222" t="s">
        <v>331</v>
      </c>
      <c r="O4" s="539"/>
      <c r="P4" s="282"/>
      <c r="Q4" s="221"/>
    </row>
    <row r="5" spans="1:17" ht="9.9499999999999993" customHeight="1">
      <c r="A5" s="281" t="s">
        <v>18</v>
      </c>
      <c r="B5" s="539"/>
      <c r="C5" s="266"/>
      <c r="D5" s="266"/>
      <c r="E5" s="2"/>
      <c r="F5" s="2"/>
      <c r="G5" s="2"/>
      <c r="H5" s="2"/>
      <c r="I5" s="2"/>
      <c r="J5" s="2"/>
      <c r="K5" s="219"/>
      <c r="L5" s="219"/>
      <c r="N5" s="222" t="s">
        <v>19</v>
      </c>
      <c r="O5" s="539"/>
      <c r="P5" s="282"/>
      <c r="Q5" s="222"/>
    </row>
    <row r="6" spans="1:17" ht="13.9" customHeight="1" thickBot="1">
      <c r="A6" s="2"/>
      <c r="B6" s="2"/>
      <c r="C6" s="2"/>
      <c r="D6" s="2"/>
      <c r="E6" s="2"/>
      <c r="F6" s="2"/>
      <c r="G6" s="2"/>
      <c r="H6" s="2"/>
      <c r="I6" s="2"/>
      <c r="J6" s="219"/>
      <c r="K6" s="219"/>
      <c r="L6" s="219"/>
      <c r="M6" s="219"/>
      <c r="N6" s="219"/>
      <c r="O6" s="541"/>
      <c r="P6" s="219"/>
      <c r="Q6" s="222"/>
    </row>
    <row r="7" spans="1:17" ht="13.9" customHeight="1" thickBot="1">
      <c r="A7" s="283" t="s">
        <v>332</v>
      </c>
      <c r="B7" s="284"/>
      <c r="C7" s="284"/>
      <c r="D7" s="284"/>
      <c r="E7" s="284"/>
      <c r="F7" s="284"/>
      <c r="G7" s="285"/>
      <c r="H7" s="283" t="s">
        <v>333</v>
      </c>
      <c r="I7" s="286"/>
      <c r="J7" s="284"/>
      <c r="K7" s="284"/>
      <c r="L7" s="284"/>
      <c r="M7" s="284"/>
      <c r="N7" s="284"/>
      <c r="O7" s="284"/>
      <c r="P7" s="284"/>
    </row>
    <row r="8" spans="1:17" ht="13.9" customHeight="1">
      <c r="A8" s="287"/>
      <c r="B8" s="287"/>
      <c r="C8" s="287"/>
      <c r="D8" s="287"/>
      <c r="E8" s="287"/>
      <c r="F8" s="287"/>
      <c r="G8" s="287"/>
      <c r="H8" s="288"/>
      <c r="J8" s="289"/>
      <c r="K8" s="290"/>
      <c r="L8" s="267" t="s">
        <v>334</v>
      </c>
      <c r="M8" s="267" t="s">
        <v>335</v>
      </c>
      <c r="N8" s="290"/>
      <c r="O8" s="271" t="s">
        <v>336</v>
      </c>
      <c r="P8" s="542"/>
    </row>
    <row r="9" spans="1:17" ht="13.9" customHeight="1">
      <c r="A9" s="292" t="s">
        <v>281</v>
      </c>
      <c r="B9" s="292" t="s">
        <v>337</v>
      </c>
      <c r="C9" s="292" t="s">
        <v>338</v>
      </c>
      <c r="D9" s="292"/>
      <c r="E9" s="292" t="s">
        <v>339</v>
      </c>
      <c r="F9" s="292" t="s">
        <v>340</v>
      </c>
      <c r="G9" s="292" t="s">
        <v>341</v>
      </c>
      <c r="H9" s="293" t="s">
        <v>342</v>
      </c>
      <c r="I9" s="543" t="s">
        <v>551</v>
      </c>
      <c r="J9" s="292" t="s">
        <v>344</v>
      </c>
      <c r="K9" s="292" t="s">
        <v>345</v>
      </c>
      <c r="L9" s="292" t="s">
        <v>346</v>
      </c>
      <c r="M9" s="292" t="s">
        <v>346</v>
      </c>
      <c r="N9" s="292" t="s">
        <v>347</v>
      </c>
      <c r="O9" s="255" t="s">
        <v>348</v>
      </c>
      <c r="P9" s="292" t="s">
        <v>349</v>
      </c>
    </row>
    <row r="10" spans="1:17" ht="19.899999999999999" customHeight="1">
      <c r="A10" s="296" t="s">
        <v>350</v>
      </c>
      <c r="B10" s="296" t="s">
        <v>351</v>
      </c>
      <c r="C10" s="296" t="s">
        <v>352</v>
      </c>
      <c r="D10" s="296" t="s">
        <v>353</v>
      </c>
      <c r="E10" s="296" t="s">
        <v>32</v>
      </c>
      <c r="F10" s="296" t="s">
        <v>354</v>
      </c>
      <c r="G10" s="296" t="s">
        <v>355</v>
      </c>
      <c r="H10" s="297" t="s">
        <v>356</v>
      </c>
      <c r="I10" s="297" t="s">
        <v>354</v>
      </c>
      <c r="J10" s="298" t="s">
        <v>357</v>
      </c>
      <c r="K10" s="296" t="s">
        <v>357</v>
      </c>
      <c r="L10" s="296" t="s">
        <v>358</v>
      </c>
      <c r="M10" s="296" t="s">
        <v>358</v>
      </c>
      <c r="N10" s="296" t="s">
        <v>359</v>
      </c>
      <c r="O10" s="230" t="s">
        <v>360</v>
      </c>
      <c r="P10" s="296" t="s">
        <v>361</v>
      </c>
    </row>
    <row r="11" spans="1:17" ht="19.899999999999999" customHeight="1">
      <c r="A11" s="534"/>
      <c r="B11" s="535"/>
      <c r="C11" s="544"/>
      <c r="D11" s="545"/>
      <c r="E11" s="546"/>
      <c r="F11" s="547"/>
      <c r="G11" s="548"/>
      <c r="H11" s="532"/>
      <c r="I11" s="549"/>
      <c r="J11" s="533"/>
      <c r="K11" s="533"/>
      <c r="L11" s="550"/>
      <c r="M11" s="550"/>
      <c r="N11" s="305" t="str">
        <f>IF(M11="","",ROUND(SUM((3*I11)/(2*K11*J11*J11)),6))</f>
        <v/>
      </c>
      <c r="O11" s="306">
        <f>MROUND(IF(N11="",0,(M11*N11)),5)</f>
        <v>0</v>
      </c>
      <c r="P11" s="481"/>
    </row>
    <row r="12" spans="1:17" ht="19.899999999999999" customHeight="1">
      <c r="A12" s="534"/>
      <c r="B12" s="535"/>
      <c r="C12" s="544"/>
      <c r="D12" s="545"/>
      <c r="E12" s="546"/>
      <c r="F12" s="547"/>
      <c r="G12" s="548"/>
      <c r="H12" s="532"/>
      <c r="I12" s="549"/>
      <c r="J12" s="533"/>
      <c r="K12" s="533"/>
      <c r="L12" s="550"/>
      <c r="M12" s="550"/>
      <c r="N12" s="305" t="str">
        <f t="shared" ref="N12:N50" si="0">IF(M12="","",ROUND(SUM((3*I12)/(2*K12*J12*J12)),6))</f>
        <v/>
      </c>
      <c r="O12" s="306">
        <f t="shared" ref="O12:O50" si="1">MROUND(IF(N12="",0,(M12*N12)),5)</f>
        <v>0</v>
      </c>
      <c r="P12" s="481"/>
    </row>
    <row r="13" spans="1:17" ht="19.899999999999999" customHeight="1">
      <c r="A13" s="534"/>
      <c r="B13" s="535"/>
      <c r="C13" s="544"/>
      <c r="D13" s="545"/>
      <c r="E13" s="546"/>
      <c r="F13" s="547"/>
      <c r="G13" s="548"/>
      <c r="H13" s="532"/>
      <c r="I13" s="549"/>
      <c r="J13" s="533"/>
      <c r="K13" s="533"/>
      <c r="L13" s="550"/>
      <c r="M13" s="550"/>
      <c r="N13" s="305" t="str">
        <f t="shared" si="0"/>
        <v/>
      </c>
      <c r="O13" s="306">
        <f t="shared" si="1"/>
        <v>0</v>
      </c>
      <c r="P13" s="481"/>
    </row>
    <row r="14" spans="1:17" ht="19.899999999999999" customHeight="1">
      <c r="A14" s="534"/>
      <c r="B14" s="535"/>
      <c r="C14" s="544"/>
      <c r="D14" s="545"/>
      <c r="E14" s="546"/>
      <c r="F14" s="547"/>
      <c r="G14" s="548"/>
      <c r="H14" s="532"/>
      <c r="I14" s="549"/>
      <c r="J14" s="533"/>
      <c r="K14" s="533"/>
      <c r="L14" s="550"/>
      <c r="M14" s="550"/>
      <c r="N14" s="305" t="str">
        <f t="shared" si="0"/>
        <v/>
      </c>
      <c r="O14" s="306">
        <f t="shared" si="1"/>
        <v>0</v>
      </c>
      <c r="P14" s="481"/>
    </row>
    <row r="15" spans="1:17" ht="19.899999999999999" customHeight="1">
      <c r="A15" s="534"/>
      <c r="B15" s="535"/>
      <c r="C15" s="544"/>
      <c r="D15" s="545"/>
      <c r="E15" s="546"/>
      <c r="F15" s="547"/>
      <c r="G15" s="548"/>
      <c r="H15" s="532"/>
      <c r="I15" s="549"/>
      <c r="J15" s="533"/>
      <c r="K15" s="533"/>
      <c r="L15" s="550"/>
      <c r="M15" s="550"/>
      <c r="N15" s="305" t="str">
        <f t="shared" si="0"/>
        <v/>
      </c>
      <c r="O15" s="306">
        <f t="shared" si="1"/>
        <v>0</v>
      </c>
      <c r="P15" s="481"/>
    </row>
    <row r="16" spans="1:17" ht="19.899999999999999" customHeight="1">
      <c r="A16" s="534"/>
      <c r="B16" s="535"/>
      <c r="C16" s="544"/>
      <c r="D16" s="545"/>
      <c r="E16" s="546"/>
      <c r="F16" s="547"/>
      <c r="G16" s="548"/>
      <c r="H16" s="532"/>
      <c r="I16" s="549"/>
      <c r="J16" s="533"/>
      <c r="K16" s="533"/>
      <c r="L16" s="550"/>
      <c r="M16" s="550"/>
      <c r="N16" s="305" t="str">
        <f t="shared" si="0"/>
        <v/>
      </c>
      <c r="O16" s="306">
        <f t="shared" si="1"/>
        <v>0</v>
      </c>
      <c r="P16" s="481"/>
    </row>
    <row r="17" spans="1:16" ht="19.899999999999999" customHeight="1">
      <c r="A17" s="534"/>
      <c r="B17" s="535"/>
      <c r="C17" s="544"/>
      <c r="D17" s="545"/>
      <c r="E17" s="546"/>
      <c r="F17" s="547"/>
      <c r="G17" s="548"/>
      <c r="H17" s="532"/>
      <c r="I17" s="549"/>
      <c r="J17" s="533"/>
      <c r="K17" s="533"/>
      <c r="L17" s="550"/>
      <c r="M17" s="550"/>
      <c r="N17" s="305" t="str">
        <f t="shared" si="0"/>
        <v/>
      </c>
      <c r="O17" s="306">
        <f t="shared" si="1"/>
        <v>0</v>
      </c>
      <c r="P17" s="481"/>
    </row>
    <row r="18" spans="1:16" ht="19.899999999999999" customHeight="1">
      <c r="A18" s="534"/>
      <c r="B18" s="535"/>
      <c r="C18" s="544"/>
      <c r="D18" s="545"/>
      <c r="E18" s="546"/>
      <c r="F18" s="547"/>
      <c r="G18" s="548"/>
      <c r="H18" s="532"/>
      <c r="I18" s="549"/>
      <c r="J18" s="533"/>
      <c r="K18" s="533"/>
      <c r="L18" s="550"/>
      <c r="M18" s="550"/>
      <c r="N18" s="305" t="str">
        <f t="shared" si="0"/>
        <v/>
      </c>
      <c r="O18" s="306">
        <f t="shared" si="1"/>
        <v>0</v>
      </c>
      <c r="P18" s="481"/>
    </row>
    <row r="19" spans="1:16" ht="19.899999999999999" customHeight="1">
      <c r="A19" s="534"/>
      <c r="B19" s="535"/>
      <c r="C19" s="544"/>
      <c r="D19" s="545"/>
      <c r="E19" s="546"/>
      <c r="F19" s="547"/>
      <c r="G19" s="548"/>
      <c r="H19" s="532"/>
      <c r="I19" s="549"/>
      <c r="J19" s="533"/>
      <c r="K19" s="533"/>
      <c r="L19" s="550"/>
      <c r="M19" s="550"/>
      <c r="N19" s="305" t="str">
        <f t="shared" si="0"/>
        <v/>
      </c>
      <c r="O19" s="306">
        <f t="shared" si="1"/>
        <v>0</v>
      </c>
      <c r="P19" s="481"/>
    </row>
    <row r="20" spans="1:16" ht="19.899999999999999" customHeight="1">
      <c r="A20" s="534"/>
      <c r="B20" s="535"/>
      <c r="C20" s="544"/>
      <c r="D20" s="545"/>
      <c r="E20" s="546"/>
      <c r="F20" s="547"/>
      <c r="G20" s="548"/>
      <c r="H20" s="532"/>
      <c r="I20" s="549"/>
      <c r="J20" s="533"/>
      <c r="K20" s="533"/>
      <c r="L20" s="550"/>
      <c r="M20" s="550"/>
      <c r="N20" s="305" t="str">
        <f t="shared" si="0"/>
        <v/>
      </c>
      <c r="O20" s="306">
        <f t="shared" si="1"/>
        <v>0</v>
      </c>
      <c r="P20" s="481"/>
    </row>
    <row r="21" spans="1:16" ht="19.899999999999999" customHeight="1">
      <c r="A21" s="534"/>
      <c r="B21" s="535"/>
      <c r="C21" s="544"/>
      <c r="D21" s="545"/>
      <c r="E21" s="546"/>
      <c r="F21" s="547"/>
      <c r="G21" s="548"/>
      <c r="H21" s="532"/>
      <c r="I21" s="549"/>
      <c r="J21" s="533"/>
      <c r="K21" s="533"/>
      <c r="L21" s="550"/>
      <c r="M21" s="550"/>
      <c r="N21" s="305" t="str">
        <f t="shared" si="0"/>
        <v/>
      </c>
      <c r="O21" s="306">
        <f t="shared" si="1"/>
        <v>0</v>
      </c>
      <c r="P21" s="481"/>
    </row>
    <row r="22" spans="1:16" ht="19.899999999999999" customHeight="1">
      <c r="A22" s="534"/>
      <c r="B22" s="535"/>
      <c r="C22" s="544"/>
      <c r="D22" s="545"/>
      <c r="E22" s="546"/>
      <c r="F22" s="547"/>
      <c r="G22" s="548"/>
      <c r="H22" s="532"/>
      <c r="I22" s="549"/>
      <c r="J22" s="533"/>
      <c r="K22" s="533"/>
      <c r="L22" s="550"/>
      <c r="M22" s="550"/>
      <c r="N22" s="305" t="str">
        <f t="shared" si="0"/>
        <v/>
      </c>
      <c r="O22" s="306">
        <f t="shared" si="1"/>
        <v>0</v>
      </c>
      <c r="P22" s="481"/>
    </row>
    <row r="23" spans="1:16" ht="19.899999999999999" customHeight="1">
      <c r="A23" s="534"/>
      <c r="B23" s="535"/>
      <c r="C23" s="544"/>
      <c r="D23" s="545"/>
      <c r="E23" s="546"/>
      <c r="F23" s="547"/>
      <c r="G23" s="548"/>
      <c r="H23" s="532"/>
      <c r="I23" s="549"/>
      <c r="J23" s="533"/>
      <c r="K23" s="533"/>
      <c r="L23" s="550"/>
      <c r="M23" s="550"/>
      <c r="N23" s="305" t="str">
        <f t="shared" si="0"/>
        <v/>
      </c>
      <c r="O23" s="306">
        <f t="shared" si="1"/>
        <v>0</v>
      </c>
      <c r="P23" s="481"/>
    </row>
    <row r="24" spans="1:16" ht="19.899999999999999" customHeight="1">
      <c r="A24" s="534"/>
      <c r="B24" s="535"/>
      <c r="C24" s="544"/>
      <c r="D24" s="545"/>
      <c r="E24" s="546"/>
      <c r="F24" s="547"/>
      <c r="G24" s="548"/>
      <c r="H24" s="532"/>
      <c r="I24" s="549"/>
      <c r="J24" s="533"/>
      <c r="K24" s="533"/>
      <c r="L24" s="550"/>
      <c r="M24" s="550"/>
      <c r="N24" s="305" t="str">
        <f t="shared" si="0"/>
        <v/>
      </c>
      <c r="O24" s="306">
        <f t="shared" si="1"/>
        <v>0</v>
      </c>
      <c r="P24" s="481"/>
    </row>
    <row r="25" spans="1:16" ht="19.899999999999999" customHeight="1">
      <c r="A25" s="534"/>
      <c r="B25" s="535"/>
      <c r="C25" s="544"/>
      <c r="D25" s="545"/>
      <c r="E25" s="546"/>
      <c r="F25" s="547"/>
      <c r="G25" s="548"/>
      <c r="H25" s="532"/>
      <c r="I25" s="549"/>
      <c r="J25" s="533"/>
      <c r="K25" s="533"/>
      <c r="L25" s="550"/>
      <c r="M25" s="550"/>
      <c r="N25" s="305" t="str">
        <f t="shared" si="0"/>
        <v/>
      </c>
      <c r="O25" s="306">
        <f t="shared" si="1"/>
        <v>0</v>
      </c>
      <c r="P25" s="481"/>
    </row>
    <row r="26" spans="1:16" ht="19.899999999999999" customHeight="1">
      <c r="A26" s="534"/>
      <c r="B26" s="535"/>
      <c r="C26" s="544"/>
      <c r="D26" s="545"/>
      <c r="E26" s="546"/>
      <c r="F26" s="547"/>
      <c r="G26" s="548"/>
      <c r="H26" s="532"/>
      <c r="I26" s="549"/>
      <c r="J26" s="533"/>
      <c r="K26" s="533"/>
      <c r="L26" s="550"/>
      <c r="M26" s="550"/>
      <c r="N26" s="305" t="str">
        <f t="shared" si="0"/>
        <v/>
      </c>
      <c r="O26" s="306">
        <f t="shared" si="1"/>
        <v>0</v>
      </c>
      <c r="P26" s="481"/>
    </row>
    <row r="27" spans="1:16" ht="19.899999999999999" customHeight="1">
      <c r="A27" s="534"/>
      <c r="B27" s="535"/>
      <c r="C27" s="544"/>
      <c r="D27" s="545"/>
      <c r="E27" s="546"/>
      <c r="F27" s="547"/>
      <c r="G27" s="548"/>
      <c r="H27" s="532"/>
      <c r="I27" s="549"/>
      <c r="J27" s="533"/>
      <c r="K27" s="533"/>
      <c r="L27" s="550"/>
      <c r="M27" s="550"/>
      <c r="N27" s="305" t="str">
        <f t="shared" si="0"/>
        <v/>
      </c>
      <c r="O27" s="306">
        <f t="shared" si="1"/>
        <v>0</v>
      </c>
      <c r="P27" s="481"/>
    </row>
    <row r="28" spans="1:16" ht="19.899999999999999" customHeight="1">
      <c r="A28" s="534"/>
      <c r="B28" s="535"/>
      <c r="C28" s="544"/>
      <c r="D28" s="545"/>
      <c r="E28" s="546"/>
      <c r="F28" s="547"/>
      <c r="G28" s="548"/>
      <c r="H28" s="532"/>
      <c r="I28" s="549"/>
      <c r="J28" s="533"/>
      <c r="K28" s="533"/>
      <c r="L28" s="550"/>
      <c r="M28" s="550"/>
      <c r="N28" s="305" t="str">
        <f t="shared" si="0"/>
        <v/>
      </c>
      <c r="O28" s="306">
        <f t="shared" si="1"/>
        <v>0</v>
      </c>
      <c r="P28" s="481"/>
    </row>
    <row r="29" spans="1:16" ht="19.899999999999999" customHeight="1">
      <c r="A29" s="534"/>
      <c r="B29" s="535"/>
      <c r="C29" s="544"/>
      <c r="D29" s="545"/>
      <c r="E29" s="546"/>
      <c r="F29" s="547"/>
      <c r="G29" s="548"/>
      <c r="H29" s="532"/>
      <c r="I29" s="549"/>
      <c r="J29" s="533"/>
      <c r="K29" s="533"/>
      <c r="L29" s="550"/>
      <c r="M29" s="550"/>
      <c r="N29" s="305" t="str">
        <f t="shared" si="0"/>
        <v/>
      </c>
      <c r="O29" s="306">
        <f t="shared" si="1"/>
        <v>0</v>
      </c>
      <c r="P29" s="481"/>
    </row>
    <row r="30" spans="1:16">
      <c r="A30" s="534"/>
      <c r="B30" s="535"/>
      <c r="C30" s="544"/>
      <c r="D30" s="545"/>
      <c r="E30" s="546"/>
      <c r="F30" s="547"/>
      <c r="G30" s="548"/>
      <c r="H30" s="532"/>
      <c r="I30" s="549"/>
      <c r="J30" s="533"/>
      <c r="K30" s="533"/>
      <c r="L30" s="550"/>
      <c r="M30" s="550"/>
      <c r="N30" s="305" t="str">
        <f t="shared" si="0"/>
        <v/>
      </c>
      <c r="O30" s="306">
        <f t="shared" si="1"/>
        <v>0</v>
      </c>
      <c r="P30" s="481"/>
    </row>
    <row r="31" spans="1:16">
      <c r="A31" s="534"/>
      <c r="B31" s="535"/>
      <c r="C31" s="544"/>
      <c r="D31" s="545"/>
      <c r="E31" s="546"/>
      <c r="F31" s="547"/>
      <c r="G31" s="548"/>
      <c r="H31" s="532"/>
      <c r="I31" s="549"/>
      <c r="J31" s="533"/>
      <c r="K31" s="533"/>
      <c r="L31" s="550"/>
      <c r="M31" s="550"/>
      <c r="N31" s="305" t="str">
        <f t="shared" si="0"/>
        <v/>
      </c>
      <c r="O31" s="306">
        <f t="shared" si="1"/>
        <v>0</v>
      </c>
      <c r="P31" s="481"/>
    </row>
    <row r="32" spans="1:16">
      <c r="A32" s="534"/>
      <c r="B32" s="535"/>
      <c r="C32" s="544"/>
      <c r="D32" s="545"/>
      <c r="E32" s="546"/>
      <c r="F32" s="547"/>
      <c r="G32" s="548"/>
      <c r="H32" s="532"/>
      <c r="I32" s="549"/>
      <c r="J32" s="533"/>
      <c r="K32" s="533"/>
      <c r="L32" s="550"/>
      <c r="M32" s="550"/>
      <c r="N32" s="305" t="str">
        <f t="shared" si="0"/>
        <v/>
      </c>
      <c r="O32" s="306">
        <f t="shared" si="1"/>
        <v>0</v>
      </c>
      <c r="P32" s="481"/>
    </row>
    <row r="33" spans="1:16">
      <c r="A33" s="534"/>
      <c r="B33" s="535"/>
      <c r="C33" s="544"/>
      <c r="D33" s="545"/>
      <c r="E33" s="546"/>
      <c r="F33" s="547"/>
      <c r="G33" s="548"/>
      <c r="H33" s="532"/>
      <c r="I33" s="549"/>
      <c r="J33" s="533"/>
      <c r="K33" s="533"/>
      <c r="L33" s="550"/>
      <c r="M33" s="550"/>
      <c r="N33" s="305" t="str">
        <f t="shared" si="0"/>
        <v/>
      </c>
      <c r="O33" s="306">
        <f t="shared" si="1"/>
        <v>0</v>
      </c>
      <c r="P33" s="481"/>
    </row>
    <row r="34" spans="1:16">
      <c r="A34" s="534"/>
      <c r="B34" s="535"/>
      <c r="C34" s="544"/>
      <c r="D34" s="545"/>
      <c r="E34" s="546"/>
      <c r="F34" s="547"/>
      <c r="G34" s="548"/>
      <c r="H34" s="532"/>
      <c r="I34" s="549"/>
      <c r="J34" s="533"/>
      <c r="K34" s="533"/>
      <c r="L34" s="550"/>
      <c r="M34" s="550"/>
      <c r="N34" s="305" t="str">
        <f t="shared" si="0"/>
        <v/>
      </c>
      <c r="O34" s="306">
        <f t="shared" si="1"/>
        <v>0</v>
      </c>
      <c r="P34" s="481"/>
    </row>
    <row r="35" spans="1:16">
      <c r="A35" s="534"/>
      <c r="B35" s="535"/>
      <c r="C35" s="544"/>
      <c r="D35" s="545"/>
      <c r="E35" s="546"/>
      <c r="F35" s="547"/>
      <c r="G35" s="548"/>
      <c r="H35" s="532"/>
      <c r="I35" s="549"/>
      <c r="J35" s="533"/>
      <c r="K35" s="533"/>
      <c r="L35" s="550"/>
      <c r="M35" s="550"/>
      <c r="N35" s="305" t="str">
        <f t="shared" si="0"/>
        <v/>
      </c>
      <c r="O35" s="306">
        <f t="shared" si="1"/>
        <v>0</v>
      </c>
      <c r="P35" s="481"/>
    </row>
    <row r="36" spans="1:16">
      <c r="A36" s="534"/>
      <c r="B36" s="535"/>
      <c r="C36" s="544"/>
      <c r="D36" s="545"/>
      <c r="E36" s="546"/>
      <c r="F36" s="547"/>
      <c r="G36" s="548"/>
      <c r="H36" s="532"/>
      <c r="I36" s="549"/>
      <c r="J36" s="533"/>
      <c r="K36" s="533"/>
      <c r="L36" s="550"/>
      <c r="M36" s="550"/>
      <c r="N36" s="305" t="str">
        <f t="shared" si="0"/>
        <v/>
      </c>
      <c r="O36" s="306">
        <f t="shared" si="1"/>
        <v>0</v>
      </c>
      <c r="P36" s="481"/>
    </row>
    <row r="37" spans="1:16">
      <c r="A37" s="534"/>
      <c r="B37" s="535"/>
      <c r="C37" s="544"/>
      <c r="D37" s="545"/>
      <c r="E37" s="546"/>
      <c r="F37" s="547"/>
      <c r="G37" s="548"/>
      <c r="H37" s="532"/>
      <c r="I37" s="549"/>
      <c r="J37" s="533"/>
      <c r="K37" s="533"/>
      <c r="L37" s="550"/>
      <c r="M37" s="550"/>
      <c r="N37" s="305" t="str">
        <f t="shared" si="0"/>
        <v/>
      </c>
      <c r="O37" s="306">
        <f t="shared" si="1"/>
        <v>0</v>
      </c>
      <c r="P37" s="481"/>
    </row>
    <row r="38" spans="1:16">
      <c r="A38" s="534"/>
      <c r="B38" s="535"/>
      <c r="C38" s="544"/>
      <c r="D38" s="545"/>
      <c r="E38" s="546"/>
      <c r="F38" s="547"/>
      <c r="G38" s="548"/>
      <c r="H38" s="532"/>
      <c r="I38" s="549"/>
      <c r="J38" s="533"/>
      <c r="K38" s="533"/>
      <c r="L38" s="550"/>
      <c r="M38" s="550"/>
      <c r="N38" s="305" t="str">
        <f t="shared" si="0"/>
        <v/>
      </c>
      <c r="O38" s="306">
        <f t="shared" si="1"/>
        <v>0</v>
      </c>
      <c r="P38" s="481"/>
    </row>
    <row r="39" spans="1:16">
      <c r="A39" s="534"/>
      <c r="B39" s="535"/>
      <c r="C39" s="544"/>
      <c r="D39" s="545"/>
      <c r="E39" s="546"/>
      <c r="F39" s="547"/>
      <c r="G39" s="548"/>
      <c r="H39" s="532"/>
      <c r="I39" s="549"/>
      <c r="J39" s="533"/>
      <c r="K39" s="533"/>
      <c r="L39" s="550"/>
      <c r="M39" s="550"/>
      <c r="N39" s="305" t="str">
        <f t="shared" si="0"/>
        <v/>
      </c>
      <c r="O39" s="306">
        <f t="shared" si="1"/>
        <v>0</v>
      </c>
      <c r="P39" s="481"/>
    </row>
    <row r="40" spans="1:16">
      <c r="A40" s="534"/>
      <c r="B40" s="535"/>
      <c r="C40" s="544"/>
      <c r="D40" s="545"/>
      <c r="E40" s="546"/>
      <c r="F40" s="547"/>
      <c r="G40" s="548"/>
      <c r="H40" s="532"/>
      <c r="I40" s="549"/>
      <c r="J40" s="533"/>
      <c r="K40" s="533"/>
      <c r="L40" s="550"/>
      <c r="M40" s="550"/>
      <c r="N40" s="305" t="str">
        <f t="shared" si="0"/>
        <v/>
      </c>
      <c r="O40" s="306">
        <f t="shared" si="1"/>
        <v>0</v>
      </c>
      <c r="P40" s="481"/>
    </row>
    <row r="41" spans="1:16">
      <c r="A41" s="534"/>
      <c r="B41" s="535"/>
      <c r="C41" s="544"/>
      <c r="D41" s="545"/>
      <c r="E41" s="546"/>
      <c r="F41" s="547"/>
      <c r="G41" s="548"/>
      <c r="H41" s="532"/>
      <c r="I41" s="549"/>
      <c r="J41" s="533"/>
      <c r="K41" s="533"/>
      <c r="L41" s="550"/>
      <c r="M41" s="550"/>
      <c r="N41" s="305" t="str">
        <f t="shared" si="0"/>
        <v/>
      </c>
      <c r="O41" s="306">
        <f t="shared" si="1"/>
        <v>0</v>
      </c>
      <c r="P41" s="481"/>
    </row>
    <row r="42" spans="1:16">
      <c r="A42" s="534"/>
      <c r="B42" s="535"/>
      <c r="C42" s="544"/>
      <c r="D42" s="545"/>
      <c r="E42" s="546"/>
      <c r="F42" s="547"/>
      <c r="G42" s="548"/>
      <c r="H42" s="532"/>
      <c r="I42" s="549"/>
      <c r="J42" s="533"/>
      <c r="K42" s="533"/>
      <c r="L42" s="550"/>
      <c r="M42" s="550"/>
      <c r="N42" s="305" t="str">
        <f t="shared" si="0"/>
        <v/>
      </c>
      <c r="O42" s="306">
        <f t="shared" si="1"/>
        <v>0</v>
      </c>
      <c r="P42" s="481"/>
    </row>
    <row r="43" spans="1:16">
      <c r="A43" s="534"/>
      <c r="B43" s="535"/>
      <c r="C43" s="544"/>
      <c r="D43" s="545"/>
      <c r="E43" s="546"/>
      <c r="F43" s="547"/>
      <c r="G43" s="548"/>
      <c r="H43" s="532"/>
      <c r="I43" s="549"/>
      <c r="J43" s="533"/>
      <c r="K43" s="533"/>
      <c r="L43" s="550"/>
      <c r="M43" s="550"/>
      <c r="N43" s="305" t="str">
        <f t="shared" si="0"/>
        <v/>
      </c>
      <c r="O43" s="306">
        <f t="shared" si="1"/>
        <v>0</v>
      </c>
      <c r="P43" s="481"/>
    </row>
    <row r="44" spans="1:16">
      <c r="A44" s="534"/>
      <c r="B44" s="535"/>
      <c r="C44" s="544"/>
      <c r="D44" s="545"/>
      <c r="E44" s="546"/>
      <c r="F44" s="547"/>
      <c r="G44" s="548"/>
      <c r="H44" s="532"/>
      <c r="I44" s="549"/>
      <c r="J44" s="533"/>
      <c r="K44" s="533"/>
      <c r="L44" s="550"/>
      <c r="M44" s="550"/>
      <c r="N44" s="305" t="str">
        <f t="shared" si="0"/>
        <v/>
      </c>
      <c r="O44" s="306">
        <f t="shared" si="1"/>
        <v>0</v>
      </c>
      <c r="P44" s="481"/>
    </row>
    <row r="45" spans="1:16">
      <c r="A45" s="534"/>
      <c r="B45" s="535"/>
      <c r="C45" s="544"/>
      <c r="D45" s="545"/>
      <c r="E45" s="546"/>
      <c r="F45" s="547"/>
      <c r="G45" s="548"/>
      <c r="H45" s="532"/>
      <c r="I45" s="549"/>
      <c r="J45" s="533"/>
      <c r="K45" s="533"/>
      <c r="L45" s="550"/>
      <c r="M45" s="550"/>
      <c r="N45" s="305" t="str">
        <f t="shared" si="0"/>
        <v/>
      </c>
      <c r="O45" s="306">
        <f t="shared" si="1"/>
        <v>0</v>
      </c>
      <c r="P45" s="481"/>
    </row>
    <row r="46" spans="1:16">
      <c r="A46" s="534"/>
      <c r="B46" s="535"/>
      <c r="C46" s="544"/>
      <c r="D46" s="545"/>
      <c r="E46" s="546"/>
      <c r="F46" s="547"/>
      <c r="G46" s="548"/>
      <c r="H46" s="532"/>
      <c r="I46" s="549"/>
      <c r="J46" s="533"/>
      <c r="K46" s="533"/>
      <c r="L46" s="550"/>
      <c r="M46" s="550"/>
      <c r="N46" s="305" t="str">
        <f t="shared" si="0"/>
        <v/>
      </c>
      <c r="O46" s="306">
        <f t="shared" si="1"/>
        <v>0</v>
      </c>
      <c r="P46" s="481"/>
    </row>
    <row r="47" spans="1:16">
      <c r="A47" s="534"/>
      <c r="B47" s="535"/>
      <c r="C47" s="544"/>
      <c r="D47" s="545"/>
      <c r="E47" s="546"/>
      <c r="F47" s="547"/>
      <c r="G47" s="548"/>
      <c r="H47" s="532"/>
      <c r="I47" s="549"/>
      <c r="J47" s="533"/>
      <c r="K47" s="533"/>
      <c r="L47" s="550"/>
      <c r="M47" s="550"/>
      <c r="N47" s="305" t="str">
        <f t="shared" si="0"/>
        <v/>
      </c>
      <c r="O47" s="306">
        <f t="shared" si="1"/>
        <v>0</v>
      </c>
      <c r="P47" s="481"/>
    </row>
    <row r="48" spans="1:16">
      <c r="A48" s="534"/>
      <c r="B48" s="535"/>
      <c r="C48" s="544"/>
      <c r="D48" s="545"/>
      <c r="E48" s="546"/>
      <c r="F48" s="547"/>
      <c r="G48" s="548"/>
      <c r="H48" s="532"/>
      <c r="I48" s="549"/>
      <c r="J48" s="533"/>
      <c r="K48" s="533"/>
      <c r="L48" s="550"/>
      <c r="M48" s="550"/>
      <c r="N48" s="305" t="str">
        <f t="shared" si="0"/>
        <v/>
      </c>
      <c r="O48" s="306">
        <f t="shared" si="1"/>
        <v>0</v>
      </c>
      <c r="P48" s="481"/>
    </row>
    <row r="49" spans="1:16">
      <c r="A49" s="534"/>
      <c r="B49" s="535"/>
      <c r="C49" s="544"/>
      <c r="D49" s="545"/>
      <c r="E49" s="546"/>
      <c r="F49" s="547"/>
      <c r="G49" s="548"/>
      <c r="H49" s="532"/>
      <c r="I49" s="549"/>
      <c r="J49" s="533"/>
      <c r="K49" s="533"/>
      <c r="L49" s="550"/>
      <c r="M49" s="550"/>
      <c r="N49" s="305" t="str">
        <f t="shared" si="0"/>
        <v/>
      </c>
      <c r="O49" s="306">
        <f t="shared" si="1"/>
        <v>0</v>
      </c>
      <c r="P49" s="481"/>
    </row>
    <row r="50" spans="1:16">
      <c r="A50" s="534"/>
      <c r="B50" s="535"/>
      <c r="C50" s="544"/>
      <c r="D50" s="545"/>
      <c r="E50" s="546"/>
      <c r="F50" s="547"/>
      <c r="G50" s="548"/>
      <c r="H50" s="532"/>
      <c r="I50" s="549"/>
      <c r="J50" s="533"/>
      <c r="K50" s="533"/>
      <c r="L50" s="550"/>
      <c r="M50" s="550"/>
      <c r="N50" s="305" t="str">
        <f t="shared" si="0"/>
        <v/>
      </c>
      <c r="O50" s="306">
        <f t="shared" si="1"/>
        <v>0</v>
      </c>
      <c r="P50" s="481"/>
    </row>
  </sheetData>
  <sheetProtection sheet="1"/>
  <mergeCells count="1">
    <mergeCell ref="B1:O1"/>
  </mergeCells>
  <phoneticPr fontId="48" type="noConversion"/>
  <pageMargins left="0.75" right="0.75" top="1" bottom="1" header="0.5" footer="0.5"/>
  <pageSetup scale="85" orientation="landscape" horizontalDpi="429496729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0"/>
  <sheetViews>
    <sheetView view="pageBreakPreview" zoomScaleNormal="100" workbookViewId="0">
      <selection activeCell="N10" sqref="N10"/>
    </sheetView>
  </sheetViews>
  <sheetFormatPr defaultColWidth="7.5546875" defaultRowHeight="15"/>
  <cols>
    <col min="1" max="1" width="9.44140625" customWidth="1"/>
    <col min="2" max="3" width="6.77734375" customWidth="1"/>
    <col min="4" max="4" width="6" customWidth="1"/>
    <col min="5" max="6" width="5.21875" customWidth="1"/>
    <col min="7" max="7" width="6" customWidth="1"/>
    <col min="8" max="11" width="5.21875" customWidth="1"/>
    <col min="12" max="13" width="6.77734375" customWidth="1"/>
    <col min="14" max="14" width="8.33203125" customWidth="1"/>
    <col min="15" max="15" width="6.77734375" customWidth="1"/>
    <col min="16" max="16" width="5.21875" customWidth="1"/>
    <col min="17" max="17" width="3.44140625" customWidth="1"/>
  </cols>
  <sheetData>
    <row r="1" spans="1:18" ht="19.899999999999999" customHeight="1">
      <c r="A1" s="217" t="s">
        <v>289</v>
      </c>
      <c r="B1" s="219" t="s">
        <v>327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8" t="s">
        <v>466</v>
      </c>
    </row>
    <row r="2" spans="1:18" ht="19.899999999999999" customHeight="1">
      <c r="A2" s="281" t="s">
        <v>329</v>
      </c>
      <c r="B2" s="477"/>
      <c r="C2" s="477"/>
      <c r="D2" s="487"/>
      <c r="E2" s="2"/>
      <c r="F2" s="2"/>
      <c r="G2" s="2"/>
      <c r="H2" s="2"/>
      <c r="I2" s="2"/>
      <c r="J2" s="222"/>
      <c r="K2" s="222"/>
      <c r="L2" s="222"/>
      <c r="M2" s="222"/>
      <c r="N2" s="222" t="s">
        <v>237</v>
      </c>
      <c r="O2" s="488"/>
      <c r="P2" s="488"/>
      <c r="Q2" s="239"/>
    </row>
    <row r="3" spans="1:18" ht="19.899999999999999" customHeight="1">
      <c r="A3" s="281" t="s">
        <v>330</v>
      </c>
      <c r="B3" s="477"/>
      <c r="C3" s="477"/>
      <c r="D3" s="477"/>
      <c r="E3" s="2"/>
      <c r="F3" s="2"/>
      <c r="G3" s="2"/>
      <c r="H3" s="2"/>
      <c r="I3" s="2"/>
      <c r="J3" s="2"/>
      <c r="K3" s="219"/>
      <c r="L3" s="219"/>
      <c r="M3" s="219" t="s">
        <v>331</v>
      </c>
      <c r="N3" s="219"/>
      <c r="O3" s="489"/>
      <c r="P3" s="489"/>
      <c r="Q3" s="2"/>
      <c r="R3" s="221"/>
    </row>
    <row r="4" spans="1:18" ht="19.899999999999999" customHeight="1">
      <c r="A4" s="281" t="s">
        <v>18</v>
      </c>
      <c r="B4" s="266">
        <f>'Proj Info'!B4</f>
        <v>0</v>
      </c>
      <c r="C4" s="266"/>
      <c r="D4" s="266"/>
      <c r="E4" s="2"/>
      <c r="F4" s="2"/>
      <c r="G4" s="2"/>
      <c r="H4" s="2"/>
      <c r="I4" s="2"/>
      <c r="J4" s="2"/>
      <c r="K4" s="219"/>
      <c r="L4" s="219"/>
      <c r="M4" s="219" t="s">
        <v>19</v>
      </c>
      <c r="N4" s="219"/>
      <c r="O4" s="468">
        <f>'Proj Info'!B11</f>
        <v>0</v>
      </c>
      <c r="P4" s="282"/>
      <c r="Q4" s="2"/>
      <c r="R4" s="221"/>
    </row>
    <row r="5" spans="1:18" ht="9.9499999999999993" customHeight="1" thickBot="1">
      <c r="A5" s="2"/>
      <c r="B5" s="2"/>
      <c r="C5" s="2"/>
      <c r="D5" s="2"/>
      <c r="E5" s="2"/>
      <c r="F5" s="2"/>
      <c r="G5" s="2"/>
      <c r="H5" s="2"/>
      <c r="I5" s="2"/>
      <c r="J5" s="219"/>
      <c r="K5" s="219"/>
      <c r="L5" s="219"/>
      <c r="M5" s="219"/>
      <c r="N5" s="219"/>
      <c r="O5" s="219"/>
      <c r="P5" s="219"/>
      <c r="Q5" s="2"/>
      <c r="R5" s="222"/>
    </row>
    <row r="6" spans="1:18" ht="13.9" customHeight="1" thickBot="1">
      <c r="A6" s="283" t="s">
        <v>332</v>
      </c>
      <c r="B6" s="284"/>
      <c r="C6" s="284"/>
      <c r="D6" s="284"/>
      <c r="E6" s="284"/>
      <c r="F6" s="284"/>
      <c r="G6" s="285"/>
      <c r="H6" s="283" t="s">
        <v>333</v>
      </c>
      <c r="I6" s="286"/>
      <c r="J6" s="284"/>
      <c r="K6" s="284"/>
      <c r="L6" s="284"/>
      <c r="M6" s="284"/>
      <c r="N6" s="284"/>
      <c r="O6" s="284"/>
      <c r="P6" s="284"/>
      <c r="Q6" s="285"/>
      <c r="R6" s="222"/>
    </row>
    <row r="7" spans="1:18" ht="13.9" customHeight="1">
      <c r="A7" s="287"/>
      <c r="B7" s="287"/>
      <c r="C7" s="287"/>
      <c r="D7" s="287"/>
      <c r="E7" s="287"/>
      <c r="F7" s="287"/>
      <c r="G7" s="287"/>
      <c r="H7" s="288"/>
      <c r="I7" s="241"/>
      <c r="J7" s="289"/>
      <c r="K7" s="290"/>
      <c r="L7" s="267" t="s">
        <v>334</v>
      </c>
      <c r="M7" s="267" t="s">
        <v>335</v>
      </c>
      <c r="N7" s="290"/>
      <c r="O7" s="271" t="s">
        <v>336</v>
      </c>
      <c r="P7" s="241"/>
      <c r="Q7" s="291"/>
    </row>
    <row r="8" spans="1:18" ht="13.9" customHeight="1">
      <c r="A8" s="292" t="s">
        <v>281</v>
      </c>
      <c r="B8" s="292" t="s">
        <v>337</v>
      </c>
      <c r="C8" s="292" t="s">
        <v>338</v>
      </c>
      <c r="D8" s="292"/>
      <c r="E8" s="292" t="s">
        <v>339</v>
      </c>
      <c r="F8" s="292" t="s">
        <v>340</v>
      </c>
      <c r="G8" s="292" t="s">
        <v>341</v>
      </c>
      <c r="H8" s="293" t="s">
        <v>342</v>
      </c>
      <c r="I8" s="294" t="s">
        <v>343</v>
      </c>
      <c r="J8" s="292" t="s">
        <v>344</v>
      </c>
      <c r="K8" s="292" t="s">
        <v>345</v>
      </c>
      <c r="L8" s="292" t="s">
        <v>346</v>
      </c>
      <c r="M8" s="292" t="s">
        <v>346</v>
      </c>
      <c r="N8" s="292" t="s">
        <v>347</v>
      </c>
      <c r="O8" s="255" t="s">
        <v>348</v>
      </c>
      <c r="P8" s="294" t="s">
        <v>349</v>
      </c>
      <c r="Q8" s="295"/>
    </row>
    <row r="9" spans="1:18" ht="13.9" customHeight="1">
      <c r="A9" s="296" t="s">
        <v>350</v>
      </c>
      <c r="B9" s="296" t="s">
        <v>351</v>
      </c>
      <c r="C9" s="296" t="s">
        <v>352</v>
      </c>
      <c r="D9" s="296" t="s">
        <v>353</v>
      </c>
      <c r="E9" s="296" t="s">
        <v>32</v>
      </c>
      <c r="F9" s="296" t="s">
        <v>474</v>
      </c>
      <c r="G9" s="296" t="s">
        <v>355</v>
      </c>
      <c r="H9" s="297" t="s">
        <v>356</v>
      </c>
      <c r="I9" s="297" t="s">
        <v>473</v>
      </c>
      <c r="J9" s="298" t="s">
        <v>472</v>
      </c>
      <c r="K9" s="296" t="s">
        <v>471</v>
      </c>
      <c r="L9" s="296" t="s">
        <v>470</v>
      </c>
      <c r="M9" s="296" t="s">
        <v>469</v>
      </c>
      <c r="N9" s="296" t="s">
        <v>359</v>
      </c>
      <c r="O9" s="230" t="s">
        <v>467</v>
      </c>
      <c r="P9" s="297" t="s">
        <v>468</v>
      </c>
      <c r="Q9" s="296" t="s">
        <v>297</v>
      </c>
    </row>
    <row r="10" spans="1:18" ht="19.899999999999999" customHeight="1">
      <c r="A10" s="315"/>
      <c r="B10" s="316"/>
      <c r="C10" s="316"/>
      <c r="D10" s="317"/>
      <c r="E10" s="318"/>
      <c r="F10" s="319"/>
      <c r="G10" s="320"/>
      <c r="H10" s="276"/>
      <c r="I10" s="276"/>
      <c r="J10" s="312"/>
      <c r="K10" s="313"/>
      <c r="L10" s="314"/>
      <c r="M10" s="314"/>
      <c r="N10" s="305">
        <f>ROUND(IF(M10=0,0,SUM((3*457)/(2*K10*J10*J10))),6)</f>
        <v>0</v>
      </c>
      <c r="O10" s="306">
        <f t="shared" ref="O10:O28" si="0">ROUND(IF(N10="",0,(M10*N10)),0)</f>
        <v>0</v>
      </c>
      <c r="P10" s="307"/>
      <c r="Q10" s="308"/>
    </row>
    <row r="11" spans="1:18" ht="19.899999999999999" customHeight="1">
      <c r="A11" s="299"/>
      <c r="B11" s="300"/>
      <c r="C11" s="300"/>
      <c r="D11" s="301"/>
      <c r="E11" s="302"/>
      <c r="F11" s="303"/>
      <c r="G11" s="304"/>
      <c r="H11" s="308"/>
      <c r="I11" s="308"/>
      <c r="J11" s="312"/>
      <c r="K11" s="313"/>
      <c r="L11" s="314"/>
      <c r="M11" s="314"/>
      <c r="N11" s="305">
        <f t="shared" ref="N11:N28" si="1">ROUND(IF(M11=0,0,SUM((3*457)/(2*K11*J11*J11))),6)</f>
        <v>0</v>
      </c>
      <c r="O11" s="306">
        <f t="shared" si="0"/>
        <v>0</v>
      </c>
      <c r="P11" s="309"/>
      <c r="Q11" s="308"/>
    </row>
    <row r="12" spans="1:18" ht="19.899999999999999" customHeight="1">
      <c r="A12" s="299"/>
      <c r="B12" s="300"/>
      <c r="C12" s="300"/>
      <c r="D12" s="301"/>
      <c r="E12" s="302"/>
      <c r="F12" s="303"/>
      <c r="G12" s="304"/>
      <c r="H12" s="308"/>
      <c r="I12" s="308"/>
      <c r="J12" s="312"/>
      <c r="K12" s="313"/>
      <c r="L12" s="314"/>
      <c r="M12" s="314"/>
      <c r="N12" s="305">
        <f t="shared" si="1"/>
        <v>0</v>
      </c>
      <c r="O12" s="306">
        <f t="shared" si="0"/>
        <v>0</v>
      </c>
      <c r="P12" s="309"/>
      <c r="Q12" s="308"/>
    </row>
    <row r="13" spans="1:18" ht="19.899999999999999" customHeight="1">
      <c r="A13" s="299"/>
      <c r="B13" s="300"/>
      <c r="C13" s="300"/>
      <c r="D13" s="301"/>
      <c r="E13" s="302"/>
      <c r="F13" s="303"/>
      <c r="G13" s="304"/>
      <c r="H13" s="308"/>
      <c r="I13" s="308"/>
      <c r="J13" s="312"/>
      <c r="K13" s="313"/>
      <c r="L13" s="314"/>
      <c r="M13" s="314"/>
      <c r="N13" s="305">
        <f t="shared" si="1"/>
        <v>0</v>
      </c>
      <c r="O13" s="306">
        <f t="shared" si="0"/>
        <v>0</v>
      </c>
      <c r="P13" s="309"/>
      <c r="Q13" s="308"/>
    </row>
    <row r="14" spans="1:18" ht="19.899999999999999" customHeight="1">
      <c r="A14" s="299"/>
      <c r="B14" s="300"/>
      <c r="C14" s="300"/>
      <c r="D14" s="301"/>
      <c r="E14" s="302"/>
      <c r="F14" s="303"/>
      <c r="G14" s="304"/>
      <c r="H14" s="308"/>
      <c r="I14" s="308"/>
      <c r="J14" s="312"/>
      <c r="K14" s="313"/>
      <c r="L14" s="314"/>
      <c r="M14" s="314"/>
      <c r="N14" s="305">
        <f t="shared" si="1"/>
        <v>0</v>
      </c>
      <c r="O14" s="306">
        <f t="shared" si="0"/>
        <v>0</v>
      </c>
      <c r="P14" s="309"/>
      <c r="Q14" s="308"/>
    </row>
    <row r="15" spans="1:18" ht="19.899999999999999" customHeight="1">
      <c r="A15" s="299"/>
      <c r="B15" s="300"/>
      <c r="C15" s="300"/>
      <c r="D15" s="301"/>
      <c r="E15" s="302"/>
      <c r="F15" s="303"/>
      <c r="G15" s="304"/>
      <c r="H15" s="308"/>
      <c r="I15" s="308"/>
      <c r="J15" s="312"/>
      <c r="K15" s="313"/>
      <c r="L15" s="314"/>
      <c r="M15" s="314"/>
      <c r="N15" s="305">
        <f t="shared" si="1"/>
        <v>0</v>
      </c>
      <c r="O15" s="306">
        <f t="shared" si="0"/>
        <v>0</v>
      </c>
      <c r="P15" s="309"/>
      <c r="Q15" s="308"/>
    </row>
    <row r="16" spans="1:18" ht="19.899999999999999" customHeight="1">
      <c r="A16" s="299"/>
      <c r="B16" s="300"/>
      <c r="C16" s="300"/>
      <c r="D16" s="301"/>
      <c r="E16" s="302"/>
      <c r="F16" s="303"/>
      <c r="G16" s="304"/>
      <c r="H16" s="308"/>
      <c r="I16" s="308"/>
      <c r="J16" s="312"/>
      <c r="K16" s="313"/>
      <c r="L16" s="314"/>
      <c r="M16" s="314"/>
      <c r="N16" s="305">
        <f t="shared" si="1"/>
        <v>0</v>
      </c>
      <c r="O16" s="306">
        <f t="shared" si="0"/>
        <v>0</v>
      </c>
      <c r="P16" s="309"/>
      <c r="Q16" s="308"/>
    </row>
    <row r="17" spans="1:17" ht="19.899999999999999" customHeight="1">
      <c r="A17" s="299"/>
      <c r="B17" s="300"/>
      <c r="C17" s="300"/>
      <c r="D17" s="301"/>
      <c r="E17" s="302"/>
      <c r="F17" s="303"/>
      <c r="G17" s="304"/>
      <c r="H17" s="308"/>
      <c r="I17" s="308"/>
      <c r="J17" s="312"/>
      <c r="K17" s="313"/>
      <c r="L17" s="314"/>
      <c r="M17" s="314"/>
      <c r="N17" s="305">
        <f t="shared" si="1"/>
        <v>0</v>
      </c>
      <c r="O17" s="306">
        <f t="shared" si="0"/>
        <v>0</v>
      </c>
      <c r="P17" s="309"/>
      <c r="Q17" s="308"/>
    </row>
    <row r="18" spans="1:17" ht="19.899999999999999" customHeight="1">
      <c r="A18" s="299"/>
      <c r="B18" s="300"/>
      <c r="C18" s="300"/>
      <c r="D18" s="301"/>
      <c r="E18" s="302"/>
      <c r="F18" s="303"/>
      <c r="G18" s="304"/>
      <c r="H18" s="308"/>
      <c r="I18" s="308"/>
      <c r="J18" s="312"/>
      <c r="K18" s="313"/>
      <c r="L18" s="314"/>
      <c r="M18" s="314"/>
      <c r="N18" s="305">
        <f t="shared" si="1"/>
        <v>0</v>
      </c>
      <c r="O18" s="306">
        <f t="shared" si="0"/>
        <v>0</v>
      </c>
      <c r="P18" s="309"/>
      <c r="Q18" s="308"/>
    </row>
    <row r="19" spans="1:17" ht="19.899999999999999" customHeight="1">
      <c r="A19" s="299"/>
      <c r="B19" s="300"/>
      <c r="C19" s="300"/>
      <c r="D19" s="301"/>
      <c r="E19" s="302"/>
      <c r="F19" s="303"/>
      <c r="G19" s="304"/>
      <c r="H19" s="308"/>
      <c r="I19" s="308"/>
      <c r="J19" s="312"/>
      <c r="K19" s="313"/>
      <c r="L19" s="314"/>
      <c r="M19" s="314"/>
      <c r="N19" s="305">
        <f t="shared" si="1"/>
        <v>0</v>
      </c>
      <c r="O19" s="306">
        <f t="shared" si="0"/>
        <v>0</v>
      </c>
      <c r="P19" s="309"/>
      <c r="Q19" s="308"/>
    </row>
    <row r="20" spans="1:17" ht="19.899999999999999" customHeight="1">
      <c r="A20" s="299"/>
      <c r="B20" s="300"/>
      <c r="C20" s="300"/>
      <c r="D20" s="301"/>
      <c r="E20" s="302"/>
      <c r="F20" s="303"/>
      <c r="G20" s="304"/>
      <c r="H20" s="308"/>
      <c r="I20" s="308"/>
      <c r="J20" s="312"/>
      <c r="K20" s="313"/>
      <c r="L20" s="314"/>
      <c r="M20" s="314"/>
      <c r="N20" s="305">
        <f t="shared" si="1"/>
        <v>0</v>
      </c>
      <c r="O20" s="306">
        <f t="shared" si="0"/>
        <v>0</v>
      </c>
      <c r="P20" s="309"/>
      <c r="Q20" s="308"/>
    </row>
    <row r="21" spans="1:17" ht="19.899999999999999" customHeight="1">
      <c r="A21" s="299"/>
      <c r="B21" s="300"/>
      <c r="C21" s="300"/>
      <c r="D21" s="301"/>
      <c r="E21" s="302"/>
      <c r="F21" s="303"/>
      <c r="G21" s="304"/>
      <c r="H21" s="308"/>
      <c r="I21" s="308"/>
      <c r="J21" s="312"/>
      <c r="K21" s="313"/>
      <c r="L21" s="314"/>
      <c r="M21" s="314"/>
      <c r="N21" s="305">
        <f t="shared" si="1"/>
        <v>0</v>
      </c>
      <c r="O21" s="306">
        <f t="shared" si="0"/>
        <v>0</v>
      </c>
      <c r="P21" s="309"/>
      <c r="Q21" s="308"/>
    </row>
    <row r="22" spans="1:17" ht="19.899999999999999" customHeight="1">
      <c r="A22" s="299"/>
      <c r="B22" s="300"/>
      <c r="C22" s="300"/>
      <c r="D22" s="301"/>
      <c r="E22" s="302"/>
      <c r="F22" s="303"/>
      <c r="G22" s="304"/>
      <c r="H22" s="308"/>
      <c r="I22" s="308"/>
      <c r="J22" s="312"/>
      <c r="K22" s="313"/>
      <c r="L22" s="314"/>
      <c r="M22" s="314"/>
      <c r="N22" s="305">
        <f t="shared" si="1"/>
        <v>0</v>
      </c>
      <c r="O22" s="306">
        <f t="shared" si="0"/>
        <v>0</v>
      </c>
      <c r="P22" s="309"/>
      <c r="Q22" s="308"/>
    </row>
    <row r="23" spans="1:17" ht="19.899999999999999" customHeight="1">
      <c r="A23" s="299"/>
      <c r="B23" s="300"/>
      <c r="C23" s="300"/>
      <c r="D23" s="301"/>
      <c r="E23" s="302"/>
      <c r="F23" s="303"/>
      <c r="G23" s="304"/>
      <c r="H23" s="308"/>
      <c r="I23" s="308"/>
      <c r="J23" s="312"/>
      <c r="K23" s="313"/>
      <c r="L23" s="314"/>
      <c r="M23" s="314"/>
      <c r="N23" s="305">
        <f t="shared" si="1"/>
        <v>0</v>
      </c>
      <c r="O23" s="306">
        <f t="shared" si="0"/>
        <v>0</v>
      </c>
      <c r="P23" s="309"/>
      <c r="Q23" s="308"/>
    </row>
    <row r="24" spans="1:17" ht="19.899999999999999" customHeight="1">
      <c r="A24" s="299"/>
      <c r="B24" s="300"/>
      <c r="C24" s="300"/>
      <c r="D24" s="301"/>
      <c r="E24" s="302"/>
      <c r="F24" s="303"/>
      <c r="G24" s="304"/>
      <c r="H24" s="308"/>
      <c r="I24" s="308"/>
      <c r="J24" s="312"/>
      <c r="K24" s="313"/>
      <c r="L24" s="314"/>
      <c r="M24" s="314"/>
      <c r="N24" s="305">
        <f t="shared" si="1"/>
        <v>0</v>
      </c>
      <c r="O24" s="306">
        <f t="shared" si="0"/>
        <v>0</v>
      </c>
      <c r="P24" s="309"/>
      <c r="Q24" s="308"/>
    </row>
    <row r="25" spans="1:17" ht="19.899999999999999" customHeight="1">
      <c r="A25" s="299"/>
      <c r="B25" s="300"/>
      <c r="C25" s="300"/>
      <c r="D25" s="301"/>
      <c r="E25" s="302"/>
      <c r="F25" s="303"/>
      <c r="G25" s="304"/>
      <c r="H25" s="308"/>
      <c r="I25" s="308"/>
      <c r="J25" s="312"/>
      <c r="K25" s="313"/>
      <c r="L25" s="314"/>
      <c r="M25" s="314"/>
      <c r="N25" s="305">
        <f t="shared" si="1"/>
        <v>0</v>
      </c>
      <c r="O25" s="306">
        <f t="shared" si="0"/>
        <v>0</v>
      </c>
      <c r="P25" s="309"/>
      <c r="Q25" s="308"/>
    </row>
    <row r="26" spans="1:17" ht="19.899999999999999" customHeight="1">
      <c r="A26" s="299"/>
      <c r="B26" s="300"/>
      <c r="C26" s="300"/>
      <c r="D26" s="301"/>
      <c r="E26" s="302"/>
      <c r="F26" s="303"/>
      <c r="G26" s="304"/>
      <c r="H26" s="308"/>
      <c r="I26" s="308"/>
      <c r="J26" s="312"/>
      <c r="K26" s="313"/>
      <c r="L26" s="314"/>
      <c r="M26" s="314"/>
      <c r="N26" s="305">
        <f t="shared" si="1"/>
        <v>0</v>
      </c>
      <c r="O26" s="306">
        <f t="shared" si="0"/>
        <v>0</v>
      </c>
      <c r="P26" s="309"/>
      <c r="Q26" s="308"/>
    </row>
    <row r="27" spans="1:17" ht="19.899999999999999" customHeight="1">
      <c r="A27" s="299"/>
      <c r="B27" s="300"/>
      <c r="C27" s="300"/>
      <c r="D27" s="301"/>
      <c r="E27" s="302"/>
      <c r="F27" s="303"/>
      <c r="G27" s="304"/>
      <c r="H27" s="308"/>
      <c r="I27" s="308"/>
      <c r="J27" s="312"/>
      <c r="K27" s="313"/>
      <c r="L27" s="314"/>
      <c r="M27" s="314"/>
      <c r="N27" s="305">
        <f t="shared" si="1"/>
        <v>0</v>
      </c>
      <c r="O27" s="306">
        <f t="shared" si="0"/>
        <v>0</v>
      </c>
      <c r="P27" s="309"/>
      <c r="Q27" s="308"/>
    </row>
    <row r="28" spans="1:17" ht="19.899999999999999" customHeight="1">
      <c r="A28" s="299"/>
      <c r="B28" s="300"/>
      <c r="C28" s="300"/>
      <c r="D28" s="301"/>
      <c r="E28" s="302"/>
      <c r="F28" s="303"/>
      <c r="G28" s="304"/>
      <c r="H28" s="308"/>
      <c r="I28" s="308"/>
      <c r="J28" s="312"/>
      <c r="K28" s="313"/>
      <c r="L28" s="314"/>
      <c r="M28" s="314"/>
      <c r="N28" s="305">
        <f t="shared" si="1"/>
        <v>0</v>
      </c>
      <c r="O28" s="306">
        <f t="shared" si="0"/>
        <v>0</v>
      </c>
      <c r="P28" s="309"/>
      <c r="Q28" s="308"/>
    </row>
    <row r="29" spans="1:17" ht="19.899999999999999" customHeight="1">
      <c r="A29" s="310"/>
      <c r="E29" s="2"/>
      <c r="F29" s="2"/>
      <c r="G29" s="2"/>
      <c r="H29" s="2"/>
      <c r="I29" s="2"/>
      <c r="J29" s="2"/>
      <c r="K29" s="2"/>
      <c r="L29" s="239" t="s">
        <v>362</v>
      </c>
      <c r="M29" s="239"/>
      <c r="N29" s="311"/>
      <c r="O29" s="311"/>
      <c r="P29" s="311"/>
    </row>
    <row r="30" spans="1:17">
      <c r="A30" s="2"/>
      <c r="B30" s="2"/>
      <c r="C30" s="2"/>
      <c r="D30" s="2"/>
      <c r="E30" s="2"/>
      <c r="F30" s="2"/>
      <c r="G30" s="2"/>
      <c r="H30" s="221"/>
      <c r="I30" s="221"/>
      <c r="J30" s="221"/>
      <c r="K30" s="221"/>
      <c r="L30" s="221"/>
      <c r="M30" s="221"/>
      <c r="N30" s="221"/>
      <c r="O30" s="221"/>
      <c r="P30" s="221"/>
      <c r="Q30" s="221"/>
    </row>
  </sheetData>
  <phoneticPr fontId="48" type="noConversion"/>
  <pageMargins left="0.75" right="0.75" top="1" bottom="1" header="0.5" footer="0.5"/>
  <pageSetup scale="85" orientation="landscape" horizont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39"/>
  <sheetViews>
    <sheetView view="pageBreakPreview" zoomScaleNormal="100" workbookViewId="0">
      <selection activeCell="D14" sqref="D14"/>
    </sheetView>
  </sheetViews>
  <sheetFormatPr defaultRowHeight="15"/>
  <cols>
    <col min="1" max="1" width="11.109375" customWidth="1"/>
    <col min="2" max="8" width="8.33203125" customWidth="1"/>
  </cols>
  <sheetData>
    <row r="1" spans="1:8">
      <c r="A1" s="321" t="s">
        <v>289</v>
      </c>
      <c r="H1" s="322" t="s">
        <v>363</v>
      </c>
    </row>
    <row r="2" spans="1:8">
      <c r="A2" s="240"/>
      <c r="B2" s="240"/>
      <c r="C2" s="240"/>
      <c r="D2" s="240"/>
      <c r="E2" s="240"/>
      <c r="F2" s="240"/>
      <c r="G2" s="281" t="s">
        <v>237</v>
      </c>
      <c r="H2" s="323"/>
    </row>
    <row r="3" spans="1:8">
      <c r="A3" s="281" t="s">
        <v>18</v>
      </c>
      <c r="B3" s="240"/>
      <c r="D3" s="266"/>
      <c r="F3" s="240"/>
      <c r="G3" s="281" t="s">
        <v>19</v>
      </c>
      <c r="H3" s="323"/>
    </row>
    <row r="4" spans="1:8" ht="15.75" thickBot="1">
      <c r="A4" s="240"/>
      <c r="B4" s="240"/>
      <c r="C4" s="240"/>
      <c r="D4" s="240"/>
      <c r="E4" s="240"/>
      <c r="F4" s="240"/>
      <c r="G4" s="240"/>
      <c r="H4" s="240"/>
    </row>
    <row r="5" spans="1:8">
      <c r="A5" s="324" t="s">
        <v>364</v>
      </c>
      <c r="B5" s="325"/>
      <c r="C5" s="326"/>
      <c r="D5" s="326"/>
      <c r="E5" s="324" t="s">
        <v>365</v>
      </c>
      <c r="F5" s="327"/>
      <c r="G5" s="324" t="s">
        <v>366</v>
      </c>
      <c r="H5" s="328"/>
    </row>
    <row r="6" spans="1:8">
      <c r="A6" s="281" t="s">
        <v>367</v>
      </c>
      <c r="B6" s="329"/>
      <c r="E6" s="281" t="s">
        <v>368</v>
      </c>
      <c r="F6" s="330"/>
      <c r="G6" s="281" t="s">
        <v>369</v>
      </c>
      <c r="H6" s="323"/>
    </row>
    <row r="7" spans="1:8">
      <c r="A7" s="331" t="s">
        <v>370</v>
      </c>
      <c r="B7" s="232"/>
      <c r="C7" s="232"/>
      <c r="D7" s="330"/>
      <c r="E7" s="232"/>
    </row>
    <row r="8" spans="1:8" ht="15.75" thickBot="1">
      <c r="A8" s="240"/>
      <c r="B8" s="240"/>
      <c r="C8" s="240"/>
      <c r="D8" s="240"/>
      <c r="E8" s="240"/>
      <c r="F8" s="240"/>
      <c r="G8" s="240"/>
      <c r="H8" s="240"/>
    </row>
    <row r="9" spans="1:8" ht="15.75" thickTop="1">
      <c r="A9" s="332"/>
      <c r="B9" s="332"/>
      <c r="C9" s="332"/>
      <c r="D9" s="332"/>
      <c r="E9" s="332"/>
      <c r="F9" s="332"/>
      <c r="G9" s="332"/>
      <c r="H9" s="332"/>
    </row>
    <row r="10" spans="1:8">
      <c r="A10" s="232"/>
      <c r="B10" s="232"/>
      <c r="C10" s="232"/>
      <c r="D10" s="232"/>
      <c r="E10" s="232"/>
      <c r="F10" s="232"/>
      <c r="G10" s="232"/>
      <c r="H10" s="232"/>
    </row>
    <row r="11" spans="1:8">
      <c r="A11" s="232"/>
      <c r="B11" s="232"/>
      <c r="C11" s="232"/>
      <c r="D11" s="232"/>
      <c r="E11" s="232"/>
      <c r="F11" s="232"/>
      <c r="G11" s="232"/>
      <c r="H11" s="232"/>
    </row>
    <row r="12" spans="1:8">
      <c r="A12" s="232"/>
      <c r="B12" s="232"/>
      <c r="C12" s="232"/>
      <c r="D12" s="232"/>
      <c r="E12" s="232"/>
      <c r="F12" s="232"/>
      <c r="G12" s="232"/>
      <c r="H12" s="232"/>
    </row>
    <row r="13" spans="1:8">
      <c r="A13" s="232"/>
      <c r="B13" s="232"/>
      <c r="C13" s="232"/>
      <c r="D13" s="232"/>
      <c r="E13" s="232"/>
      <c r="F13" s="232"/>
      <c r="G13" s="232"/>
      <c r="H13" s="232"/>
    </row>
    <row r="14" spans="1:8">
      <c r="A14" s="232"/>
      <c r="B14" s="232"/>
      <c r="C14" s="232"/>
      <c r="D14" s="232"/>
      <c r="E14" s="232"/>
      <c r="F14" s="232"/>
      <c r="G14" s="232"/>
      <c r="H14" s="232"/>
    </row>
    <row r="15" spans="1:8">
      <c r="A15" s="232"/>
      <c r="B15" s="232"/>
      <c r="C15" s="232"/>
      <c r="D15" s="232"/>
      <c r="E15" s="232"/>
      <c r="F15" s="232"/>
      <c r="G15" s="232"/>
      <c r="H15" s="232"/>
    </row>
    <row r="16" spans="1:8">
      <c r="A16" s="232"/>
      <c r="B16" s="232"/>
      <c r="C16" s="232"/>
      <c r="D16" s="232"/>
      <c r="E16" s="232"/>
      <c r="F16" s="232"/>
      <c r="G16" s="232"/>
      <c r="H16" s="232"/>
    </row>
    <row r="17" spans="1:8">
      <c r="A17" s="232"/>
      <c r="B17" s="232"/>
      <c r="C17" s="232"/>
      <c r="D17" s="232"/>
      <c r="E17" s="232"/>
      <c r="F17" s="232"/>
      <c r="G17" s="232"/>
      <c r="H17" s="232"/>
    </row>
    <row r="18" spans="1:8">
      <c r="A18" s="232"/>
      <c r="B18" s="232"/>
      <c r="C18" s="232"/>
      <c r="D18" s="232"/>
      <c r="E18" s="232"/>
      <c r="F18" s="232"/>
      <c r="G18" s="232"/>
      <c r="H18" s="232"/>
    </row>
    <row r="19" spans="1:8">
      <c r="A19" s="232"/>
      <c r="B19" s="232"/>
      <c r="C19" s="232"/>
      <c r="D19" s="232"/>
      <c r="E19" s="232"/>
      <c r="F19" s="232"/>
      <c r="G19" s="232"/>
      <c r="H19" s="232"/>
    </row>
    <row r="20" spans="1:8">
      <c r="A20" s="232"/>
      <c r="B20" s="232"/>
      <c r="C20" s="232"/>
      <c r="D20" s="232"/>
      <c r="E20" s="232"/>
      <c r="F20" s="232"/>
      <c r="G20" s="232"/>
      <c r="H20" s="232"/>
    </row>
    <row r="21" spans="1:8">
      <c r="A21" s="232"/>
      <c r="B21" s="232"/>
      <c r="C21" s="232"/>
      <c r="D21" s="232"/>
      <c r="E21" s="232"/>
      <c r="F21" s="232"/>
      <c r="G21" s="232"/>
      <c r="H21" s="232"/>
    </row>
    <row r="22" spans="1:8">
      <c r="A22" s="232"/>
      <c r="B22" s="232"/>
      <c r="C22" s="232"/>
      <c r="D22" s="232"/>
      <c r="E22" s="232"/>
      <c r="F22" s="232"/>
      <c r="G22" s="232"/>
      <c r="H22" s="232"/>
    </row>
    <row r="23" spans="1:8">
      <c r="A23" s="232"/>
      <c r="B23" s="232"/>
      <c r="C23" s="232"/>
      <c r="D23" s="232"/>
      <c r="E23" s="232"/>
      <c r="F23" s="232"/>
      <c r="G23" s="232"/>
      <c r="H23" s="232"/>
    </row>
    <row r="24" spans="1:8">
      <c r="A24" s="232"/>
      <c r="B24" s="232"/>
      <c r="C24" s="232"/>
      <c r="D24" s="232"/>
      <c r="E24" s="232"/>
      <c r="F24" s="232"/>
      <c r="G24" s="232"/>
      <c r="H24" s="232"/>
    </row>
    <row r="25" spans="1:8">
      <c r="A25" s="232"/>
      <c r="B25" s="232"/>
      <c r="C25" s="232"/>
      <c r="D25" s="232"/>
      <c r="E25" s="232"/>
      <c r="F25" s="232"/>
      <c r="G25" s="232"/>
      <c r="H25" s="232"/>
    </row>
    <row r="26" spans="1:8">
      <c r="A26" s="232"/>
      <c r="B26" s="232"/>
      <c r="C26" s="232"/>
      <c r="D26" s="232"/>
      <c r="E26" s="232"/>
      <c r="F26" s="232"/>
      <c r="G26" s="232"/>
      <c r="H26" s="232"/>
    </row>
    <row r="27" spans="1:8">
      <c r="A27" s="232"/>
      <c r="B27" s="232"/>
      <c r="C27" s="232"/>
      <c r="D27" s="232"/>
      <c r="E27" s="232"/>
      <c r="F27" s="232"/>
      <c r="G27" s="232"/>
      <c r="H27" s="232"/>
    </row>
    <row r="28" spans="1:8">
      <c r="A28" s="232"/>
      <c r="B28" s="232"/>
      <c r="C28" s="232"/>
      <c r="D28" s="232"/>
      <c r="E28" s="232"/>
      <c r="F28" s="232"/>
      <c r="G28" s="232"/>
      <c r="H28" s="232"/>
    </row>
    <row r="29" spans="1:8">
      <c r="A29" s="232"/>
      <c r="B29" s="232"/>
      <c r="C29" s="232"/>
      <c r="D29" s="232"/>
      <c r="E29" s="232"/>
      <c r="F29" s="232"/>
      <c r="G29" s="232"/>
      <c r="H29" s="232"/>
    </row>
    <row r="30" spans="1:8">
      <c r="A30" s="232"/>
      <c r="B30" s="232"/>
      <c r="C30" s="232"/>
      <c r="D30" s="232"/>
      <c r="E30" s="232"/>
      <c r="F30" s="232"/>
      <c r="G30" s="232"/>
      <c r="H30" s="232"/>
    </row>
    <row r="31" spans="1:8">
      <c r="A31" s="232"/>
      <c r="B31" s="232"/>
      <c r="C31" s="232"/>
      <c r="D31" s="232"/>
      <c r="E31" s="232"/>
      <c r="F31" s="232"/>
      <c r="G31" s="232"/>
      <c r="H31" s="232"/>
    </row>
    <row r="32" spans="1:8">
      <c r="A32" s="232"/>
      <c r="B32" s="232"/>
      <c r="C32" s="232"/>
      <c r="D32" s="232"/>
      <c r="E32" s="232"/>
      <c r="F32" s="232"/>
      <c r="G32" s="232"/>
      <c r="H32" s="232"/>
    </row>
    <row r="33" spans="1:8">
      <c r="A33" s="232"/>
      <c r="B33" s="232"/>
      <c r="C33" s="232"/>
      <c r="D33" s="232"/>
      <c r="E33" s="232"/>
      <c r="F33" s="232"/>
      <c r="G33" s="232"/>
      <c r="H33" s="232"/>
    </row>
    <row r="34" spans="1:8">
      <c r="A34" s="232"/>
      <c r="B34" s="232"/>
      <c r="C34" s="232"/>
      <c r="D34" s="232"/>
      <c r="E34" s="232"/>
      <c r="F34" s="232"/>
      <c r="G34" s="232"/>
      <c r="H34" s="232"/>
    </row>
    <row r="35" spans="1:8">
      <c r="A35" s="232"/>
      <c r="B35" s="232"/>
      <c r="C35" s="232"/>
      <c r="D35" s="232"/>
      <c r="E35" s="232"/>
      <c r="F35" s="232"/>
      <c r="G35" s="232"/>
      <c r="H35" s="232"/>
    </row>
    <row r="36" spans="1:8">
      <c r="A36" s="232"/>
      <c r="B36" s="232"/>
      <c r="C36" s="232"/>
      <c r="D36" s="232"/>
      <c r="E36" s="232"/>
      <c r="F36" s="232"/>
      <c r="G36" s="232"/>
      <c r="H36" s="232"/>
    </row>
    <row r="37" spans="1:8">
      <c r="A37" s="232"/>
      <c r="B37" s="232"/>
      <c r="C37" s="232"/>
      <c r="D37" s="232"/>
      <c r="E37" s="232"/>
      <c r="F37" s="232"/>
      <c r="G37" s="232"/>
      <c r="H37" s="232"/>
    </row>
    <row r="38" spans="1:8">
      <c r="A38" s="240"/>
      <c r="B38" s="240"/>
      <c r="C38" s="240"/>
      <c r="D38" s="240"/>
      <c r="E38" s="240"/>
      <c r="F38" s="281" t="s">
        <v>223</v>
      </c>
      <c r="G38" s="323"/>
      <c r="H38" s="232"/>
    </row>
    <row r="39" spans="1:8">
      <c r="A39" s="240"/>
      <c r="B39" s="240"/>
      <c r="C39" s="240"/>
      <c r="D39" s="240"/>
      <c r="E39" s="240"/>
      <c r="F39" s="240"/>
      <c r="G39" s="240"/>
      <c r="H39" s="240"/>
    </row>
  </sheetData>
  <phoneticPr fontId="48" type="noConversion"/>
  <pageMargins left="0.75" right="0.75" top="1" bottom="1" header="0.5" footer="0.5"/>
  <pageSetup orientation="portrait" horizontalDpi="429496729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9"/>
  <sheetViews>
    <sheetView view="pageBreakPreview" zoomScaleNormal="100" workbookViewId="0">
      <selection activeCell="H2" sqref="H2"/>
    </sheetView>
  </sheetViews>
  <sheetFormatPr defaultRowHeight="15"/>
  <cols>
    <col min="1" max="1" width="11.109375" customWidth="1"/>
    <col min="2" max="8" width="8.33203125" customWidth="1"/>
  </cols>
  <sheetData>
    <row r="1" spans="1:8">
      <c r="A1" s="321" t="s">
        <v>289</v>
      </c>
      <c r="H1" s="322" t="s">
        <v>371</v>
      </c>
    </row>
    <row r="2" spans="1:8">
      <c r="A2" s="240"/>
      <c r="B2" s="240"/>
      <c r="C2" s="240"/>
      <c r="D2" s="240"/>
      <c r="E2" s="240"/>
      <c r="F2" s="240"/>
      <c r="G2" s="281" t="s">
        <v>237</v>
      </c>
      <c r="H2" s="323"/>
    </row>
    <row r="3" spans="1:8">
      <c r="A3" s="281" t="s">
        <v>18</v>
      </c>
      <c r="B3" s="240"/>
      <c r="D3" s="266"/>
      <c r="F3" s="240"/>
      <c r="G3" s="281" t="s">
        <v>19</v>
      </c>
      <c r="H3" s="323"/>
    </row>
    <row r="4" spans="1:8" ht="15.75" thickBot="1">
      <c r="A4" s="240"/>
      <c r="B4" s="240"/>
      <c r="C4" s="240"/>
      <c r="D4" s="240"/>
      <c r="E4" s="240"/>
      <c r="F4" s="240"/>
      <c r="G4" s="240"/>
      <c r="H4" s="240"/>
    </row>
    <row r="5" spans="1:8">
      <c r="A5" s="324" t="s">
        <v>364</v>
      </c>
      <c r="B5" s="325"/>
      <c r="C5" s="326"/>
      <c r="D5" s="326"/>
      <c r="E5" s="324" t="s">
        <v>365</v>
      </c>
      <c r="F5" s="327"/>
      <c r="G5" s="324" t="s">
        <v>366</v>
      </c>
      <c r="H5" s="328"/>
    </row>
    <row r="6" spans="1:8">
      <c r="A6" s="281" t="s">
        <v>367</v>
      </c>
      <c r="B6" s="329"/>
      <c r="E6" s="281" t="s">
        <v>368</v>
      </c>
      <c r="F6" s="330"/>
      <c r="G6" s="281" t="s">
        <v>369</v>
      </c>
      <c r="H6" s="323"/>
    </row>
    <row r="7" spans="1:8">
      <c r="A7" s="331" t="s">
        <v>370</v>
      </c>
      <c r="B7" s="232"/>
      <c r="C7" s="232"/>
      <c r="D7" s="330"/>
      <c r="E7" s="232"/>
    </row>
    <row r="8" spans="1:8" ht="15.75" thickBot="1">
      <c r="A8" s="240"/>
      <c r="B8" s="240"/>
      <c r="C8" s="240"/>
      <c r="D8" s="240"/>
      <c r="E8" s="240"/>
      <c r="F8" s="240"/>
      <c r="G8" s="240"/>
      <c r="H8" s="240"/>
    </row>
    <row r="9" spans="1:8" ht="15.75" thickTop="1">
      <c r="A9" s="332"/>
      <c r="B9" s="332"/>
      <c r="C9" s="332"/>
      <c r="D9" s="332"/>
      <c r="E9" s="332"/>
      <c r="F9" s="332"/>
      <c r="G9" s="332"/>
      <c r="H9" s="332"/>
    </row>
    <row r="10" spans="1:8">
      <c r="A10" s="232"/>
      <c r="B10" s="232"/>
      <c r="C10" s="232"/>
      <c r="D10" s="232"/>
      <c r="E10" s="232"/>
      <c r="F10" s="232"/>
      <c r="G10" s="232"/>
      <c r="H10" s="232"/>
    </row>
    <row r="11" spans="1:8">
      <c r="A11" s="232"/>
      <c r="B11" s="232"/>
      <c r="C11" s="232"/>
      <c r="D11" s="232"/>
      <c r="E11" s="232"/>
      <c r="F11" s="232"/>
      <c r="G11" s="232"/>
      <c r="H11" s="232"/>
    </row>
    <row r="12" spans="1:8">
      <c r="A12" s="232"/>
      <c r="B12" s="232"/>
      <c r="C12" s="232"/>
      <c r="D12" s="232"/>
      <c r="E12" s="232"/>
      <c r="F12" s="232"/>
      <c r="G12" s="232"/>
      <c r="H12" s="232"/>
    </row>
    <row r="13" spans="1:8">
      <c r="A13" s="232"/>
      <c r="B13" s="232"/>
      <c r="C13" s="232"/>
      <c r="D13" s="232"/>
      <c r="E13" s="232"/>
      <c r="F13" s="232"/>
      <c r="G13" s="232"/>
      <c r="H13" s="232"/>
    </row>
    <row r="14" spans="1:8">
      <c r="A14" s="232"/>
      <c r="B14" s="232"/>
      <c r="C14" s="232"/>
      <c r="D14" s="232"/>
      <c r="E14" s="232"/>
      <c r="F14" s="232"/>
      <c r="G14" s="232"/>
      <c r="H14" s="232"/>
    </row>
    <row r="15" spans="1:8">
      <c r="A15" s="232"/>
      <c r="B15" s="232"/>
      <c r="C15" s="232"/>
      <c r="D15" s="232"/>
      <c r="E15" s="232"/>
      <c r="F15" s="232"/>
      <c r="G15" s="232"/>
      <c r="H15" s="232"/>
    </row>
    <row r="16" spans="1:8">
      <c r="A16" s="232"/>
      <c r="B16" s="232"/>
      <c r="C16" s="232"/>
      <c r="D16" s="232"/>
      <c r="E16" s="232"/>
      <c r="F16" s="232"/>
      <c r="G16" s="232"/>
      <c r="H16" s="232"/>
    </row>
    <row r="17" spans="1:8">
      <c r="A17" s="232"/>
      <c r="B17" s="232"/>
      <c r="C17" s="232"/>
      <c r="D17" s="232"/>
      <c r="E17" s="232"/>
      <c r="F17" s="232"/>
      <c r="G17" s="232"/>
      <c r="H17" s="232"/>
    </row>
    <row r="18" spans="1:8">
      <c r="A18" s="232"/>
      <c r="B18" s="232"/>
      <c r="C18" s="232"/>
      <c r="D18" s="232"/>
      <c r="E18" s="232"/>
      <c r="F18" s="232"/>
      <c r="G18" s="232"/>
      <c r="H18" s="232"/>
    </row>
    <row r="19" spans="1:8">
      <c r="A19" s="232"/>
      <c r="B19" s="232"/>
      <c r="C19" s="232"/>
      <c r="D19" s="232"/>
      <c r="E19" s="232"/>
      <c r="F19" s="232"/>
      <c r="G19" s="232"/>
      <c r="H19" s="232"/>
    </row>
    <row r="20" spans="1:8">
      <c r="A20" s="232"/>
      <c r="B20" s="232"/>
      <c r="C20" s="232"/>
      <c r="D20" s="232"/>
      <c r="E20" s="232"/>
      <c r="F20" s="232"/>
      <c r="G20" s="232"/>
      <c r="H20" s="232"/>
    </row>
    <row r="21" spans="1:8">
      <c r="A21" s="232"/>
      <c r="B21" s="232"/>
      <c r="C21" s="232"/>
      <c r="D21" s="232"/>
      <c r="E21" s="232"/>
      <c r="F21" s="232"/>
      <c r="G21" s="232"/>
      <c r="H21" s="232"/>
    </row>
    <row r="22" spans="1:8">
      <c r="A22" s="232"/>
      <c r="B22" s="232"/>
      <c r="C22" s="232"/>
      <c r="D22" s="232"/>
      <c r="E22" s="232"/>
      <c r="F22" s="232"/>
      <c r="G22" s="232"/>
      <c r="H22" s="232"/>
    </row>
    <row r="23" spans="1:8">
      <c r="A23" s="232"/>
      <c r="B23" s="232"/>
      <c r="C23" s="232"/>
      <c r="D23" s="232"/>
      <c r="E23" s="232"/>
      <c r="F23" s="232"/>
      <c r="G23" s="232"/>
      <c r="H23" s="232"/>
    </row>
    <row r="24" spans="1:8">
      <c r="A24" s="232"/>
      <c r="B24" s="232"/>
      <c r="C24" s="232"/>
      <c r="D24" s="232"/>
      <c r="E24" s="232"/>
      <c r="F24" s="232"/>
      <c r="G24" s="232"/>
      <c r="H24" s="232"/>
    </row>
    <row r="25" spans="1:8">
      <c r="A25" s="232"/>
      <c r="B25" s="232"/>
      <c r="C25" s="232"/>
      <c r="D25" s="232"/>
      <c r="E25" s="232"/>
      <c r="F25" s="232"/>
      <c r="G25" s="232"/>
      <c r="H25" s="232"/>
    </row>
    <row r="26" spans="1:8">
      <c r="A26" s="232"/>
      <c r="B26" s="232"/>
      <c r="C26" s="232"/>
      <c r="D26" s="232"/>
      <c r="E26" s="232"/>
      <c r="F26" s="232"/>
      <c r="G26" s="232"/>
      <c r="H26" s="232"/>
    </row>
    <row r="27" spans="1:8">
      <c r="A27" s="232"/>
      <c r="B27" s="232"/>
      <c r="C27" s="232"/>
      <c r="D27" s="232"/>
      <c r="E27" s="232"/>
      <c r="F27" s="232"/>
      <c r="G27" s="232"/>
      <c r="H27" s="232"/>
    </row>
    <row r="28" spans="1:8">
      <c r="A28" s="232"/>
      <c r="B28" s="232"/>
      <c r="C28" s="232"/>
      <c r="D28" s="232"/>
      <c r="E28" s="232"/>
      <c r="F28" s="232"/>
      <c r="G28" s="232"/>
      <c r="H28" s="232"/>
    </row>
    <row r="29" spans="1:8">
      <c r="A29" s="232"/>
      <c r="B29" s="232"/>
      <c r="C29" s="232"/>
      <c r="D29" s="232"/>
      <c r="E29" s="232"/>
      <c r="F29" s="232"/>
      <c r="G29" s="232"/>
      <c r="H29" s="232"/>
    </row>
    <row r="30" spans="1:8">
      <c r="A30" s="232"/>
      <c r="B30" s="232"/>
      <c r="C30" s="232"/>
      <c r="D30" s="232"/>
      <c r="E30" s="232"/>
      <c r="F30" s="232"/>
      <c r="G30" s="232"/>
      <c r="H30" s="232"/>
    </row>
    <row r="31" spans="1:8">
      <c r="A31" s="232"/>
      <c r="B31" s="232"/>
      <c r="C31" s="232"/>
      <c r="D31" s="232"/>
      <c r="E31" s="232"/>
      <c r="F31" s="232"/>
      <c r="G31" s="232"/>
      <c r="H31" s="232"/>
    </row>
    <row r="32" spans="1:8">
      <c r="A32" s="232"/>
      <c r="B32" s="232"/>
      <c r="C32" s="232"/>
      <c r="D32" s="232"/>
      <c r="E32" s="232"/>
      <c r="F32" s="232"/>
      <c r="G32" s="232"/>
      <c r="H32" s="232"/>
    </row>
    <row r="33" spans="1:8">
      <c r="A33" s="232"/>
      <c r="B33" s="232"/>
      <c r="C33" s="232"/>
      <c r="D33" s="232"/>
      <c r="E33" s="232"/>
      <c r="F33" s="232"/>
      <c r="G33" s="232"/>
      <c r="H33" s="232"/>
    </row>
    <row r="34" spans="1:8">
      <c r="A34" s="232"/>
      <c r="B34" s="232"/>
      <c r="C34" s="232"/>
      <c r="D34" s="232"/>
      <c r="E34" s="232"/>
      <c r="F34" s="232"/>
      <c r="G34" s="232"/>
      <c r="H34" s="232"/>
    </row>
    <row r="35" spans="1:8">
      <c r="A35" s="232"/>
      <c r="B35" s="232"/>
      <c r="C35" s="232"/>
      <c r="D35" s="232"/>
      <c r="E35" s="232"/>
      <c r="F35" s="232"/>
      <c r="G35" s="232"/>
      <c r="H35" s="232"/>
    </row>
    <row r="36" spans="1:8">
      <c r="A36" s="232"/>
      <c r="B36" s="232"/>
      <c r="C36" s="232"/>
      <c r="D36" s="232"/>
      <c r="E36" s="232"/>
      <c r="F36" s="232"/>
      <c r="G36" s="232"/>
      <c r="H36" s="232"/>
    </row>
    <row r="37" spans="1:8">
      <c r="A37" s="232"/>
      <c r="B37" s="232"/>
      <c r="C37" s="232"/>
      <c r="D37" s="232"/>
      <c r="E37" s="232"/>
      <c r="F37" s="232"/>
      <c r="G37" s="232"/>
      <c r="H37" s="232"/>
    </row>
    <row r="38" spans="1:8">
      <c r="A38" s="240"/>
      <c r="B38" s="240"/>
      <c r="C38" s="240"/>
      <c r="D38" s="240"/>
      <c r="E38" s="240"/>
      <c r="F38" s="281" t="s">
        <v>223</v>
      </c>
      <c r="G38" s="323"/>
      <c r="H38" s="232"/>
    </row>
    <row r="39" spans="1:8">
      <c r="A39" s="240"/>
      <c r="B39" s="240"/>
      <c r="C39" s="240"/>
      <c r="D39" s="240"/>
      <c r="E39" s="240"/>
      <c r="F39" s="240"/>
      <c r="G39" s="240"/>
      <c r="H39" s="240"/>
    </row>
  </sheetData>
  <phoneticPr fontId="48" type="noConversion"/>
  <pageMargins left="0.75" right="0.75" top="1" bottom="1" header="0.5" footer="0.5"/>
  <pageSetup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1">
    <pageSetUpPr fitToPage="1"/>
  </sheetPr>
  <dimension ref="A1:F157"/>
  <sheetViews>
    <sheetView tabSelected="1" defaultGridColor="0" view="pageBreakPreview" colorId="22" zoomScale="60" zoomScaleNormal="60" workbookViewId="0">
      <pane xSplit="1" topLeftCell="B1" activePane="topRight" state="frozen"/>
      <selection pane="topRight" activeCell="N39" sqref="N39"/>
    </sheetView>
  </sheetViews>
  <sheetFormatPr defaultColWidth="11.109375" defaultRowHeight="20.25"/>
  <cols>
    <col min="1" max="1" width="41.5546875" style="96" customWidth="1"/>
    <col min="2" max="2" width="31.77734375" style="99" customWidth="1"/>
    <col min="3" max="3" width="11.44140625" style="129" customWidth="1"/>
    <col min="4" max="4" width="45.109375" customWidth="1"/>
    <col min="5" max="5" width="11.109375" style="214" customWidth="1"/>
  </cols>
  <sheetData>
    <row r="1" spans="1:6" ht="21" customHeight="1">
      <c r="A1" s="9" t="s">
        <v>0</v>
      </c>
      <c r="B1" s="97"/>
      <c r="C1" s="216" t="s">
        <v>563</v>
      </c>
      <c r="F1" s="213"/>
    </row>
    <row r="2" spans="1:6" ht="21" customHeight="1">
      <c r="A2" s="9" t="s">
        <v>1</v>
      </c>
      <c r="B2" s="128"/>
      <c r="E2" s="536" t="s">
        <v>172</v>
      </c>
      <c r="F2" s="213"/>
    </row>
    <row r="3" spans="1:6" ht="21" customHeight="1">
      <c r="A3" s="9" t="s">
        <v>2</v>
      </c>
      <c r="B3" s="128"/>
      <c r="E3" s="536" t="s">
        <v>173</v>
      </c>
      <c r="F3" s="213"/>
    </row>
    <row r="4" spans="1:6" ht="21" customHeight="1">
      <c r="A4" s="9" t="s">
        <v>3</v>
      </c>
      <c r="B4" s="97"/>
      <c r="E4" s="536" t="s">
        <v>174</v>
      </c>
      <c r="F4" s="213"/>
    </row>
    <row r="5" spans="1:6" ht="21" customHeight="1">
      <c r="A5" s="9" t="s">
        <v>3</v>
      </c>
      <c r="B5" s="97"/>
      <c r="E5" s="536" t="s">
        <v>175</v>
      </c>
      <c r="F5" s="213"/>
    </row>
    <row r="6" spans="1:6" ht="21" customHeight="1">
      <c r="A6" s="9" t="s">
        <v>3</v>
      </c>
      <c r="B6" s="97"/>
      <c r="E6" s="536" t="s">
        <v>176</v>
      </c>
      <c r="F6" s="213"/>
    </row>
    <row r="7" spans="1:6" ht="21" customHeight="1">
      <c r="A7" s="9" t="s">
        <v>3</v>
      </c>
      <c r="B7" s="97"/>
      <c r="E7" s="537" t="s">
        <v>526</v>
      </c>
      <c r="F7" s="213"/>
    </row>
    <row r="8" spans="1:6" ht="21" customHeight="1">
      <c r="A8" s="9" t="s">
        <v>4</v>
      </c>
      <c r="B8" s="97"/>
      <c r="E8" s="537" t="s">
        <v>527</v>
      </c>
      <c r="F8" s="213"/>
    </row>
    <row r="9" spans="1:6" ht="21" customHeight="1">
      <c r="A9" s="9" t="s">
        <v>5</v>
      </c>
      <c r="B9" s="97"/>
      <c r="E9" s="537" t="s">
        <v>528</v>
      </c>
      <c r="F9" s="213"/>
    </row>
    <row r="10" spans="1:6" ht="21" customHeight="1">
      <c r="A10" s="9" t="s">
        <v>6</v>
      </c>
      <c r="B10" s="97"/>
      <c r="E10" s="537" t="s">
        <v>529</v>
      </c>
      <c r="F10" s="213"/>
    </row>
    <row r="11" spans="1:6" ht="21" customHeight="1">
      <c r="A11" s="9" t="s">
        <v>7</v>
      </c>
      <c r="B11" s="97"/>
      <c r="E11" s="536" t="s">
        <v>177</v>
      </c>
      <c r="F11" s="213"/>
    </row>
    <row r="12" spans="1:6" ht="21" customHeight="1">
      <c r="A12" s="9" t="s">
        <v>8</v>
      </c>
      <c r="B12" s="97"/>
      <c r="E12" s="536" t="s">
        <v>178</v>
      </c>
      <c r="F12" s="213"/>
    </row>
    <row r="13" spans="1:6" ht="21" customHeight="1">
      <c r="A13" s="9" t="s">
        <v>49</v>
      </c>
      <c r="B13" s="97"/>
      <c r="E13" s="536" t="s">
        <v>179</v>
      </c>
      <c r="F13" s="213"/>
    </row>
    <row r="14" spans="1:6" ht="21" customHeight="1">
      <c r="A14" s="9" t="s">
        <v>148</v>
      </c>
      <c r="B14" s="97"/>
      <c r="E14" s="536" t="s">
        <v>180</v>
      </c>
      <c r="F14" s="213"/>
    </row>
    <row r="15" spans="1:6" ht="21" customHeight="1">
      <c r="A15" s="9" t="s">
        <v>149</v>
      </c>
      <c r="B15" s="97"/>
      <c r="E15" s="536" t="s">
        <v>181</v>
      </c>
      <c r="F15" s="213"/>
    </row>
    <row r="16" spans="1:6" ht="21" customHeight="1">
      <c r="A16" s="9" t="s">
        <v>150</v>
      </c>
      <c r="B16" s="97"/>
      <c r="E16" s="536" t="s">
        <v>182</v>
      </c>
      <c r="F16" s="213"/>
    </row>
    <row r="17" spans="1:6" ht="21" customHeight="1">
      <c r="A17" s="9" t="s">
        <v>151</v>
      </c>
      <c r="B17" s="97"/>
      <c r="E17" s="536" t="s">
        <v>183</v>
      </c>
      <c r="F17" s="213"/>
    </row>
    <row r="18" spans="1:6" ht="21" customHeight="1">
      <c r="A18" s="9" t="s">
        <v>152</v>
      </c>
      <c r="B18" s="97"/>
      <c r="E18" s="536" t="s">
        <v>184</v>
      </c>
      <c r="F18" s="213"/>
    </row>
    <row r="19" spans="1:6" ht="21" customHeight="1">
      <c r="A19" s="9" t="s">
        <v>153</v>
      </c>
      <c r="B19" s="97"/>
      <c r="E19" s="536" t="s">
        <v>185</v>
      </c>
      <c r="F19" s="213"/>
    </row>
    <row r="20" spans="1:6" ht="21" customHeight="1">
      <c r="A20" s="9" t="s">
        <v>429</v>
      </c>
      <c r="B20" s="97"/>
      <c r="E20" s="537" t="s">
        <v>530</v>
      </c>
      <c r="F20" s="213"/>
    </row>
    <row r="21" spans="1:6" ht="21" customHeight="1">
      <c r="A21" s="9" t="s">
        <v>154</v>
      </c>
      <c r="B21" s="97"/>
      <c r="E21" s="537" t="s">
        <v>531</v>
      </c>
      <c r="F21" s="213"/>
    </row>
    <row r="22" spans="1:6" ht="21" customHeight="1">
      <c r="A22" s="9" t="s">
        <v>460</v>
      </c>
      <c r="B22" s="97"/>
      <c r="E22" s="537" t="s">
        <v>532</v>
      </c>
      <c r="F22" s="213"/>
    </row>
    <row r="23" spans="1:6" ht="21" customHeight="1">
      <c r="A23" s="9" t="s">
        <v>461</v>
      </c>
      <c r="B23" s="97"/>
      <c r="E23" s="537" t="s">
        <v>533</v>
      </c>
      <c r="F23" s="213"/>
    </row>
    <row r="24" spans="1:6" ht="21" customHeight="1">
      <c r="A24" s="9" t="s">
        <v>462</v>
      </c>
      <c r="B24" s="98"/>
      <c r="E24" s="536" t="s">
        <v>186</v>
      </c>
      <c r="F24" s="213"/>
    </row>
    <row r="25" spans="1:6" ht="21" customHeight="1">
      <c r="A25" s="9" t="s">
        <v>463</v>
      </c>
      <c r="B25" s="97"/>
      <c r="E25" s="536" t="s">
        <v>187</v>
      </c>
      <c r="F25" s="213"/>
    </row>
    <row r="26" spans="1:6" ht="21" customHeight="1">
      <c r="A26" s="9" t="s">
        <v>464</v>
      </c>
      <c r="B26" s="97"/>
      <c r="E26" s="536" t="s">
        <v>188</v>
      </c>
      <c r="F26" s="213"/>
    </row>
    <row r="27" spans="1:6" ht="21" customHeight="1">
      <c r="A27" s="9" t="s">
        <v>465</v>
      </c>
      <c r="B27" s="97"/>
      <c r="E27" s="536" t="s">
        <v>189</v>
      </c>
      <c r="F27" s="213"/>
    </row>
    <row r="28" spans="1:6" ht="21" customHeight="1">
      <c r="A28" s="9" t="s">
        <v>95</v>
      </c>
      <c r="B28" s="98"/>
      <c r="E28" s="536" t="s">
        <v>190</v>
      </c>
      <c r="F28" s="213"/>
    </row>
    <row r="29" spans="1:6" ht="21" customHeight="1">
      <c r="A29" s="9" t="s">
        <v>9</v>
      </c>
      <c r="B29" s="97"/>
      <c r="E29" s="536" t="s">
        <v>191</v>
      </c>
      <c r="F29" s="213"/>
    </row>
    <row r="30" spans="1:6" ht="21" customHeight="1">
      <c r="A30" s="9" t="s">
        <v>155</v>
      </c>
      <c r="B30" s="97"/>
      <c r="C30" s="129" t="s">
        <v>98</v>
      </c>
      <c r="E30" s="536" t="s">
        <v>192</v>
      </c>
      <c r="F30" s="213"/>
    </row>
    <row r="31" spans="1:6" ht="21" customHeight="1">
      <c r="A31" s="9" t="s">
        <v>96</v>
      </c>
      <c r="B31" s="97"/>
      <c r="E31" s="536" t="s">
        <v>193</v>
      </c>
      <c r="F31" s="213"/>
    </row>
    <row r="32" spans="1:6" ht="21" customHeight="1">
      <c r="A32" s="9" t="s">
        <v>91</v>
      </c>
      <c r="B32" s="97"/>
      <c r="E32" s="536" t="s">
        <v>194</v>
      </c>
      <c r="F32" s="213"/>
    </row>
    <row r="33" spans="1:6" ht="21" customHeight="1">
      <c r="A33" s="552" t="s">
        <v>558</v>
      </c>
      <c r="B33" s="97">
        <v>6</v>
      </c>
      <c r="C33" s="129" t="s">
        <v>559</v>
      </c>
      <c r="E33" s="536" t="s">
        <v>195</v>
      </c>
      <c r="F33" s="213"/>
    </row>
    <row r="34" spans="1:6" ht="21" customHeight="1">
      <c r="A34" s="9" t="s">
        <v>97</v>
      </c>
      <c r="B34" s="97"/>
      <c r="E34" s="536" t="s">
        <v>196</v>
      </c>
      <c r="F34" s="213"/>
    </row>
    <row r="35" spans="1:6" ht="21" customHeight="1">
      <c r="A35" s="9" t="s">
        <v>10</v>
      </c>
      <c r="B35" s="97"/>
      <c r="E35" s="536" t="s">
        <v>197</v>
      </c>
      <c r="F35" s="213"/>
    </row>
    <row r="36" spans="1:6" ht="21" customHeight="1">
      <c r="A36" s="9" t="s">
        <v>156</v>
      </c>
      <c r="B36" s="97"/>
      <c r="C36" s="129" t="s">
        <v>99</v>
      </c>
      <c r="E36" s="537" t="s">
        <v>534</v>
      </c>
      <c r="F36" s="213"/>
    </row>
    <row r="37" spans="1:6" ht="21" customHeight="1">
      <c r="A37" s="9" t="s">
        <v>11</v>
      </c>
      <c r="B37" s="97"/>
      <c r="E37" s="537" t="s">
        <v>535</v>
      </c>
      <c r="F37" s="213"/>
    </row>
    <row r="38" spans="1:6" ht="21" customHeight="1">
      <c r="A38" s="9" t="s">
        <v>12</v>
      </c>
      <c r="B38" s="97"/>
      <c r="E38" s="537" t="s">
        <v>536</v>
      </c>
      <c r="F38" s="213"/>
    </row>
    <row r="39" spans="1:6" ht="21" customHeight="1">
      <c r="A39" s="9" t="s">
        <v>157</v>
      </c>
      <c r="B39" s="490" t="str">
        <f>IF($B$30=3,"100",IF($B$30=4,"100",""))</f>
        <v/>
      </c>
      <c r="E39" s="537" t="s">
        <v>537</v>
      </c>
      <c r="F39" s="213"/>
    </row>
    <row r="40" spans="1:6" ht="21" customHeight="1">
      <c r="A40" s="9" t="s">
        <v>158</v>
      </c>
      <c r="B40" s="490" t="str">
        <f>IF($B$30=3,"95-100",IF($B$30=4,"50-100",IF($B$30=5,"100","")))</f>
        <v/>
      </c>
      <c r="E40" s="537" t="s">
        <v>538</v>
      </c>
      <c r="F40" s="213"/>
    </row>
    <row r="41" spans="1:6" ht="21" customHeight="1">
      <c r="A41" s="9" t="s">
        <v>159</v>
      </c>
      <c r="B41" s="490" t="str">
        <f>IF($B$30=4,"30-100",IF($B$30=5,"90-100",IF($B$30=6,"100","")))</f>
        <v/>
      </c>
      <c r="E41" s="537" t="s">
        <v>539</v>
      </c>
      <c r="F41" s="213"/>
    </row>
    <row r="42" spans="1:6" ht="21" customHeight="1">
      <c r="A42" s="9" t="s">
        <v>160</v>
      </c>
      <c r="B42" s="490" t="str">
        <f>IF($B$30=3,"25-60",IF($B$30=4,"20-75",IF($B$30=6,"90-100","")))</f>
        <v/>
      </c>
      <c r="E42" s="537" t="s">
        <v>540</v>
      </c>
      <c r="F42" s="213"/>
    </row>
    <row r="43" spans="1:6" ht="21" customHeight="1">
      <c r="A43" s="9" t="s">
        <v>161</v>
      </c>
      <c r="B43" s="490" t="str">
        <f>IF($B$30=4,"5-55",IF($B$30=5,"20-55",IF($B$30=6,"40-90","")))</f>
        <v/>
      </c>
      <c r="E43" s="536" t="s">
        <v>541</v>
      </c>
      <c r="F43" s="213"/>
    </row>
    <row r="44" spans="1:6" ht="21" customHeight="1">
      <c r="A44" s="9" t="s">
        <v>162</v>
      </c>
      <c r="B44" s="490" t="str">
        <f>IF($B$30=3,"0-10",IF($B$30=4,"0-10",IF($B$30=5,"0-10",IF($B$30=6,"0-30",""))))</f>
        <v/>
      </c>
      <c r="E44" s="536" t="s">
        <v>198</v>
      </c>
      <c r="F44" s="213"/>
    </row>
    <row r="45" spans="1:6" ht="21" customHeight="1">
      <c r="A45" s="9" t="s">
        <v>163</v>
      </c>
      <c r="B45" s="490" t="str">
        <f>IF($B$30=3,"0-5",IF($B$30=4,"0-5",IF($B$30=5,"0-5","")))</f>
        <v/>
      </c>
      <c r="C45" s="182">
        <v>2.5</v>
      </c>
      <c r="D45" s="129" t="s">
        <v>525</v>
      </c>
      <c r="E45" s="536" t="s">
        <v>199</v>
      </c>
      <c r="F45" s="213"/>
    </row>
    <row r="46" spans="1:6" ht="21" customHeight="1">
      <c r="A46" s="9" t="s">
        <v>164</v>
      </c>
      <c r="B46" s="490" t="str">
        <f>IF($C$45=2.5,"0-2.5",IF($B$30=3,"0-1.5",IF($B$30=4,"0-1.5",IF($B$30=5,"0-1.5",IF($B$30=6,"0-1.5","")))))</f>
        <v>0-2.5</v>
      </c>
      <c r="C46" s="551"/>
      <c r="D46" s="129"/>
      <c r="E46" s="536" t="s">
        <v>200</v>
      </c>
      <c r="F46" s="213"/>
    </row>
    <row r="47" spans="1:6" ht="21" customHeight="1">
      <c r="A47" s="552" t="s">
        <v>552</v>
      </c>
      <c r="B47" s="553" t="str">
        <f>IF($B$33=6, "100","")</f>
        <v>100</v>
      </c>
      <c r="C47" s="551"/>
      <c r="D47" s="129"/>
      <c r="E47" s="536" t="s">
        <v>201</v>
      </c>
      <c r="F47" s="213"/>
    </row>
    <row r="48" spans="1:6" ht="21" customHeight="1">
      <c r="A48" s="552" t="s">
        <v>553</v>
      </c>
      <c r="B48" s="553" t="str">
        <f>IF($B$33=6, "90-100",IF($B$33=2,"95-100",""))</f>
        <v>90-100</v>
      </c>
      <c r="C48" s="551"/>
      <c r="D48" s="129"/>
      <c r="E48" s="536" t="s">
        <v>202</v>
      </c>
      <c r="F48" s="213"/>
    </row>
    <row r="49" spans="1:6" ht="21" customHeight="1">
      <c r="A49" s="552" t="s">
        <v>554</v>
      </c>
      <c r="B49" s="553" t="str">
        <f>IF($B$33=6, "40-90","")</f>
        <v>40-90</v>
      </c>
      <c r="C49" s="551"/>
      <c r="D49" s="129"/>
      <c r="E49" s="536" t="s">
        <v>203</v>
      </c>
      <c r="F49" s="213"/>
    </row>
    <row r="50" spans="1:6" ht="21" customHeight="1">
      <c r="A50" s="552" t="s">
        <v>555</v>
      </c>
      <c r="B50" s="553" t="str">
        <f>IF($B$33=6,"0-30","")</f>
        <v>0-30</v>
      </c>
      <c r="C50" s="551"/>
      <c r="D50" s="129"/>
      <c r="E50" s="536" t="s">
        <v>542</v>
      </c>
      <c r="F50" s="213"/>
    </row>
    <row r="51" spans="1:6" ht="21" customHeight="1">
      <c r="A51" s="552" t="s">
        <v>556</v>
      </c>
      <c r="B51" s="553" t="str">
        <f>IF($B$33=2,"0-10","")</f>
        <v/>
      </c>
      <c r="C51" s="551"/>
      <c r="D51" s="129"/>
      <c r="E51" s="536" t="s">
        <v>204</v>
      </c>
      <c r="F51" s="213"/>
    </row>
    <row r="52" spans="1:6" ht="21" customHeight="1">
      <c r="A52" s="552" t="s">
        <v>557</v>
      </c>
      <c r="B52" s="553" t="str">
        <f>IF(AND($B$33=6,$C$46=1.5), "0-1.5", IF(AND($B$33=6,$C$46=2.5), "0-2.5",""))</f>
        <v/>
      </c>
      <c r="C52" s="551"/>
      <c r="D52" s="129"/>
      <c r="E52" s="536" t="s">
        <v>543</v>
      </c>
      <c r="F52" s="213"/>
    </row>
    <row r="53" spans="1:6" ht="21" customHeight="1">
      <c r="A53" s="9" t="s">
        <v>165</v>
      </c>
      <c r="B53" s="491" t="str">
        <f>IF($B$36=1,"100","")</f>
        <v/>
      </c>
      <c r="E53" s="536" t="s">
        <v>205</v>
      </c>
      <c r="F53" s="213"/>
    </row>
    <row r="54" spans="1:6" ht="21" customHeight="1">
      <c r="A54" s="9" t="s">
        <v>166</v>
      </c>
      <c r="B54" s="491" t="str">
        <f>IF($B$36=1,"90-100",IF($B$36=7,"80-92",""))</f>
        <v/>
      </c>
      <c r="E54" s="536" t="s">
        <v>206</v>
      </c>
      <c r="F54" s="213"/>
    </row>
    <row r="55" spans="1:6" ht="21" customHeight="1">
      <c r="A55" s="9" t="s">
        <v>167</v>
      </c>
      <c r="B55" s="491" t="str">
        <f>IF($B$36=1,"70-100",IF($B$36=7,"60-75",""))</f>
        <v/>
      </c>
      <c r="E55" s="536" t="s">
        <v>207</v>
      </c>
      <c r="F55" s="213"/>
    </row>
    <row r="56" spans="1:6" ht="21" customHeight="1">
      <c r="A56" s="9" t="s">
        <v>168</v>
      </c>
      <c r="B56" s="491" t="str">
        <f>IF($B$36=1,"10-60",IF($B$36=7,"20-40",""))</f>
        <v/>
      </c>
      <c r="E56" s="536" t="s">
        <v>544</v>
      </c>
      <c r="F56" s="213"/>
    </row>
    <row r="57" spans="1:6" ht="21" customHeight="1">
      <c r="A57" s="9" t="s">
        <v>169</v>
      </c>
      <c r="B57" s="491" t="str">
        <f>IF($B$36=1,"0-1.5","")</f>
        <v/>
      </c>
      <c r="E57" s="536" t="s">
        <v>208</v>
      </c>
      <c r="F57" s="213"/>
    </row>
    <row r="58" spans="1:6" ht="21" customHeight="1">
      <c r="A58" s="180" t="s">
        <v>170</v>
      </c>
      <c r="B58" s="97"/>
      <c r="E58" s="536" t="s">
        <v>545</v>
      </c>
      <c r="F58" s="213"/>
    </row>
    <row r="59" spans="1:6" ht="21" customHeight="1">
      <c r="A59" s="180" t="s">
        <v>476</v>
      </c>
      <c r="B59" s="97"/>
      <c r="E59" s="536" t="s">
        <v>209</v>
      </c>
      <c r="F59" s="213"/>
    </row>
    <row r="60" spans="1:6" ht="21" customHeight="1">
      <c r="A60" s="180" t="s">
        <v>171</v>
      </c>
      <c r="B60" s="97"/>
      <c r="E60" s="536" t="s">
        <v>210</v>
      </c>
      <c r="F60" s="213"/>
    </row>
    <row r="61" spans="1:6" ht="21" customHeight="1">
      <c r="A61" s="180" t="s">
        <v>424</v>
      </c>
      <c r="B61" s="97"/>
      <c r="E61" s="536" t="s">
        <v>546</v>
      </c>
      <c r="F61" s="213"/>
    </row>
    <row r="62" spans="1:6" ht="21" customHeight="1">
      <c r="A62" s="180" t="s">
        <v>425</v>
      </c>
      <c r="B62" s="97"/>
      <c r="E62" s="536" t="s">
        <v>547</v>
      </c>
      <c r="F62" s="213"/>
    </row>
    <row r="63" spans="1:6" ht="21" customHeight="1">
      <c r="E63" s="536" t="s">
        <v>548</v>
      </c>
      <c r="F63" s="213"/>
    </row>
    <row r="64" spans="1:6" ht="21" customHeight="1">
      <c r="F64" s="213"/>
    </row>
    <row r="65" spans="1:6" ht="21" customHeight="1">
      <c r="F65" s="213"/>
    </row>
    <row r="66" spans="1:6" ht="21" customHeight="1">
      <c r="F66" s="213"/>
    </row>
    <row r="67" spans="1:6" ht="21" customHeight="1">
      <c r="F67" s="213"/>
    </row>
    <row r="68" spans="1:6" ht="21" customHeight="1">
      <c r="A68" s="9"/>
      <c r="B68" s="97"/>
      <c r="F68" s="213"/>
    </row>
    <row r="69" spans="1:6" ht="21" customHeight="1">
      <c r="A69" s="9"/>
      <c r="B69" s="97"/>
      <c r="E69" s="215"/>
      <c r="F69" s="213"/>
    </row>
    <row r="70" spans="1:6" ht="21" customHeight="1">
      <c r="A70" s="9"/>
      <c r="B70" s="97"/>
      <c r="E70" s="215"/>
      <c r="F70" s="213"/>
    </row>
    <row r="71" spans="1:6" ht="21" customHeight="1">
      <c r="A71" s="9"/>
      <c r="B71" s="97"/>
      <c r="E71" s="215"/>
      <c r="F71" s="213"/>
    </row>
    <row r="72" spans="1:6" ht="21" customHeight="1">
      <c r="A72" s="9"/>
      <c r="B72" s="97"/>
      <c r="E72" s="215"/>
      <c r="F72" s="213"/>
    </row>
    <row r="73" spans="1:6" ht="21" customHeight="1">
      <c r="A73" s="9"/>
      <c r="B73" s="97"/>
      <c r="E73" s="215"/>
      <c r="F73" s="213"/>
    </row>
    <row r="74" spans="1:6" ht="21" customHeight="1">
      <c r="A74" s="9"/>
      <c r="B74" s="97"/>
      <c r="F74" s="213"/>
    </row>
    <row r="75" spans="1:6" ht="21" customHeight="1">
      <c r="A75" s="9"/>
      <c r="B75" s="97"/>
      <c r="F75" s="213"/>
    </row>
    <row r="76" spans="1:6">
      <c r="A76" s="9"/>
      <c r="B76" s="97"/>
      <c r="F76" s="213"/>
    </row>
    <row r="77" spans="1:6">
      <c r="A77" s="9"/>
      <c r="B77" s="97"/>
      <c r="F77" s="213"/>
    </row>
    <row r="78" spans="1:6">
      <c r="A78" s="9"/>
      <c r="B78" s="97"/>
      <c r="F78" s="213"/>
    </row>
    <row r="79" spans="1:6">
      <c r="A79" s="9"/>
      <c r="B79" s="97"/>
      <c r="F79" s="213"/>
    </row>
    <row r="80" spans="1:6">
      <c r="A80" s="9"/>
      <c r="B80" s="97"/>
      <c r="F80" s="213"/>
    </row>
    <row r="81" spans="6:6">
      <c r="F81" s="213"/>
    </row>
    <row r="82" spans="6:6">
      <c r="F82" s="213"/>
    </row>
    <row r="83" spans="6:6">
      <c r="F83" s="213"/>
    </row>
    <row r="84" spans="6:6">
      <c r="F84" s="213"/>
    </row>
    <row r="85" spans="6:6">
      <c r="F85" s="213"/>
    </row>
    <row r="86" spans="6:6">
      <c r="F86" s="213"/>
    </row>
    <row r="87" spans="6:6">
      <c r="F87" s="213"/>
    </row>
    <row r="88" spans="6:6">
      <c r="F88" s="213"/>
    </row>
    <row r="89" spans="6:6">
      <c r="F89" s="213"/>
    </row>
    <row r="90" spans="6:6">
      <c r="F90" s="213"/>
    </row>
    <row r="91" spans="6:6">
      <c r="F91" s="213"/>
    </row>
    <row r="92" spans="6:6">
      <c r="F92" s="213"/>
    </row>
    <row r="93" spans="6:6">
      <c r="F93" s="213"/>
    </row>
    <row r="94" spans="6:6">
      <c r="F94" s="213"/>
    </row>
    <row r="95" spans="6:6">
      <c r="F95" s="213"/>
    </row>
    <row r="96" spans="6:6">
      <c r="F96" s="213"/>
    </row>
    <row r="97" spans="6:6">
      <c r="F97" s="213"/>
    </row>
    <row r="98" spans="6:6">
      <c r="F98" s="213"/>
    </row>
    <row r="99" spans="6:6">
      <c r="F99" s="213"/>
    </row>
    <row r="100" spans="6:6">
      <c r="F100" s="213"/>
    </row>
    <row r="101" spans="6:6">
      <c r="F101" s="213"/>
    </row>
    <row r="102" spans="6:6">
      <c r="F102" s="213"/>
    </row>
    <row r="103" spans="6:6">
      <c r="F103" s="213"/>
    </row>
    <row r="104" spans="6:6">
      <c r="F104" s="213"/>
    </row>
    <row r="105" spans="6:6">
      <c r="F105" s="213"/>
    </row>
    <row r="106" spans="6:6">
      <c r="F106" s="213"/>
    </row>
    <row r="107" spans="6:6">
      <c r="F107" s="213"/>
    </row>
    <row r="108" spans="6:6">
      <c r="F108" s="213"/>
    </row>
    <row r="109" spans="6:6">
      <c r="F109" s="213"/>
    </row>
    <row r="110" spans="6:6">
      <c r="F110" s="213"/>
    </row>
    <row r="111" spans="6:6">
      <c r="F111" s="213"/>
    </row>
    <row r="112" spans="6:6">
      <c r="F112" s="213"/>
    </row>
    <row r="113" spans="6:6">
      <c r="F113" s="213"/>
    </row>
    <row r="114" spans="6:6">
      <c r="F114" s="213"/>
    </row>
    <row r="115" spans="6:6">
      <c r="F115" s="213"/>
    </row>
    <row r="116" spans="6:6">
      <c r="F116" s="213"/>
    </row>
    <row r="117" spans="6:6">
      <c r="F117" s="213"/>
    </row>
    <row r="118" spans="6:6">
      <c r="F118" s="213"/>
    </row>
    <row r="119" spans="6:6">
      <c r="F119" s="213"/>
    </row>
    <row r="120" spans="6:6">
      <c r="F120" s="213"/>
    </row>
    <row r="121" spans="6:6">
      <c r="F121" s="213"/>
    </row>
    <row r="122" spans="6:6">
      <c r="F122" s="213"/>
    </row>
    <row r="123" spans="6:6">
      <c r="F123" s="213"/>
    </row>
    <row r="124" spans="6:6">
      <c r="F124" s="213"/>
    </row>
    <row r="125" spans="6:6">
      <c r="F125" s="213"/>
    </row>
    <row r="126" spans="6:6">
      <c r="F126" s="213"/>
    </row>
    <row r="127" spans="6:6">
      <c r="F127" s="213"/>
    </row>
    <row r="128" spans="6:6">
      <c r="F128" s="213"/>
    </row>
    <row r="129" spans="6:6">
      <c r="F129" s="213"/>
    </row>
    <row r="130" spans="6:6">
      <c r="F130" s="213"/>
    </row>
    <row r="131" spans="6:6">
      <c r="F131" s="213"/>
    </row>
    <row r="132" spans="6:6">
      <c r="F132" s="213"/>
    </row>
    <row r="133" spans="6:6">
      <c r="F133" s="213"/>
    </row>
    <row r="134" spans="6:6">
      <c r="F134" s="213"/>
    </row>
    <row r="135" spans="6:6">
      <c r="F135" s="213"/>
    </row>
    <row r="136" spans="6:6">
      <c r="F136" s="213"/>
    </row>
    <row r="137" spans="6:6">
      <c r="F137" s="213"/>
    </row>
    <row r="138" spans="6:6">
      <c r="F138" s="213"/>
    </row>
    <row r="139" spans="6:6">
      <c r="F139" s="213"/>
    </row>
    <row r="140" spans="6:6">
      <c r="F140" s="213"/>
    </row>
    <row r="141" spans="6:6">
      <c r="F141" s="213"/>
    </row>
    <row r="142" spans="6:6">
      <c r="F142" s="213"/>
    </row>
    <row r="143" spans="6:6">
      <c r="F143" s="213"/>
    </row>
    <row r="144" spans="6:6">
      <c r="F144" s="213"/>
    </row>
    <row r="145" spans="6:6">
      <c r="F145" s="213"/>
    </row>
    <row r="146" spans="6:6">
      <c r="F146" s="213"/>
    </row>
    <row r="147" spans="6:6">
      <c r="F147" s="213"/>
    </row>
    <row r="148" spans="6:6">
      <c r="F148" s="213"/>
    </row>
    <row r="149" spans="6:6">
      <c r="F149" s="213"/>
    </row>
    <row r="150" spans="6:6">
      <c r="F150" s="213"/>
    </row>
    <row r="151" spans="6:6">
      <c r="F151" s="213"/>
    </row>
    <row r="152" spans="6:6">
      <c r="F152" s="213"/>
    </row>
    <row r="153" spans="6:6">
      <c r="F153" s="213"/>
    </row>
    <row r="154" spans="6:6">
      <c r="F154" s="213"/>
    </row>
    <row r="155" spans="6:6">
      <c r="F155" s="213"/>
    </row>
    <row r="156" spans="6:6">
      <c r="F156" s="213"/>
    </row>
    <row r="157" spans="6:6">
      <c r="F157" s="213"/>
    </row>
  </sheetData>
  <sheetProtection algorithmName="SHA-512" hashValue="iOJ73wZtBbNvrH0AZjInGWgVIBEallDWNvxJSFKpsXIWLR0XeXoHsxfX5qyRpdtXFzf/2wCRHn4BEYuh5BHP6g==" saltValue="QA0ebTQSlHQUyt9+UqqUGA==" spinCount="100000" sheet="1" objects="1" scenarios="1"/>
  <phoneticPr fontId="0" type="noConversion"/>
  <pageMargins left="0.5" right="0.57299999999999995" top="0.6" bottom="0.46" header="0.5" footer="0.5"/>
  <pageSetup scale="5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F40"/>
  <sheetViews>
    <sheetView view="pageBreakPreview" topLeftCell="A19" zoomScaleNormal="100" workbookViewId="0">
      <selection activeCell="C42" sqref="C42"/>
    </sheetView>
  </sheetViews>
  <sheetFormatPr defaultRowHeight="15"/>
  <cols>
    <col min="1" max="1" width="18.77734375" customWidth="1"/>
    <col min="2" max="2" width="16.77734375" customWidth="1"/>
    <col min="3" max="3" width="4.77734375" customWidth="1"/>
    <col min="4" max="4" width="15.77734375" customWidth="1"/>
    <col min="5" max="5" width="2.77734375" customWidth="1"/>
    <col min="6" max="6" width="15.77734375" customWidth="1"/>
  </cols>
  <sheetData>
    <row r="1" spans="1:6">
      <c r="A1" s="217" t="s">
        <v>212</v>
      </c>
      <c r="B1" s="217"/>
      <c r="C1" s="21"/>
      <c r="D1" s="21"/>
      <c r="E1" s="21"/>
      <c r="F1" s="218" t="s">
        <v>213</v>
      </c>
    </row>
    <row r="2" spans="1:6">
      <c r="A2" s="219" t="s">
        <v>214</v>
      </c>
      <c r="B2" s="220"/>
      <c r="C2" s="220"/>
      <c r="D2" s="220"/>
      <c r="E2" s="220"/>
      <c r="F2" s="219"/>
    </row>
    <row r="3" spans="1:6">
      <c r="A3" s="222" t="s">
        <v>215</v>
      </c>
      <c r="B3" s="223">
        <f>'Proj Info'!B4</f>
        <v>0</v>
      </c>
      <c r="C3" s="224"/>
      <c r="D3" s="221"/>
      <c r="E3" s="221"/>
      <c r="F3" s="12"/>
    </row>
    <row r="4" spans="1:6">
      <c r="B4" s="223">
        <f>'Proj Info'!B5</f>
        <v>0</v>
      </c>
      <c r="C4" s="224"/>
      <c r="D4" s="219" t="s">
        <v>216</v>
      </c>
      <c r="E4" s="219"/>
      <c r="F4" s="225">
        <f>'Proj Info'!B11</f>
        <v>0</v>
      </c>
    </row>
    <row r="5" spans="1:6" ht="15.75" thickBot="1">
      <c r="A5" s="226"/>
      <c r="B5" s="467">
        <f>'Proj Info'!B6</f>
        <v>0</v>
      </c>
      <c r="C5" s="226"/>
      <c r="D5" s="226"/>
      <c r="E5" s="226"/>
      <c r="F5" s="226"/>
    </row>
    <row r="6" spans="1:6" ht="15.75" thickTop="1">
      <c r="A6" s="222" t="s">
        <v>217</v>
      </c>
      <c r="B6" s="223">
        <f>'Proj Info'!B10</f>
        <v>0</v>
      </c>
      <c r="C6" s="224"/>
      <c r="D6" s="227"/>
      <c r="E6" s="227"/>
      <c r="F6" s="219"/>
    </row>
    <row r="7" spans="1:6">
      <c r="A7" s="222" t="s">
        <v>218</v>
      </c>
      <c r="B7" s="223" t="str">
        <f>IF('Proj Info'!B14="X","Central Batch",IF('Proj Info'!B15="X","Ready Mix",""))</f>
        <v/>
      </c>
      <c r="C7" s="224"/>
      <c r="D7" s="227"/>
      <c r="E7" s="227"/>
      <c r="F7" s="219"/>
    </row>
    <row r="8" spans="1:6">
      <c r="A8" s="228" t="s">
        <v>219</v>
      </c>
      <c r="B8" s="229">
        <f>'Proj Info'!B9</f>
        <v>0</v>
      </c>
      <c r="C8" s="230"/>
      <c r="D8" s="231"/>
      <c r="E8" s="231"/>
      <c r="F8" s="219"/>
    </row>
    <row r="9" spans="1:6">
      <c r="A9" s="228" t="s">
        <v>220</v>
      </c>
      <c r="B9" s="469"/>
      <c r="C9" s="470"/>
      <c r="D9" s="231"/>
      <c r="E9" s="231"/>
      <c r="F9" s="231"/>
    </row>
    <row r="10" spans="1:6">
      <c r="A10" s="222" t="s">
        <v>221</v>
      </c>
      <c r="B10" s="469"/>
      <c r="C10" s="470"/>
      <c r="D10" s="231"/>
      <c r="E10" s="231"/>
      <c r="F10" s="231"/>
    </row>
    <row r="11" spans="1:6">
      <c r="A11" s="222" t="s">
        <v>222</v>
      </c>
      <c r="B11" s="471"/>
      <c r="C11" s="470"/>
      <c r="D11" s="231"/>
      <c r="E11" s="231"/>
      <c r="F11" s="231"/>
    </row>
    <row r="12" spans="1:6">
      <c r="A12" s="222" t="s">
        <v>223</v>
      </c>
      <c r="B12" s="469"/>
      <c r="C12" s="470"/>
      <c r="D12" s="231"/>
      <c r="E12" s="231"/>
      <c r="F12" s="231"/>
    </row>
    <row r="13" spans="1:6">
      <c r="A13" s="222"/>
      <c r="B13" s="221"/>
      <c r="C13" s="221"/>
      <c r="D13" s="231"/>
      <c r="E13" s="231"/>
      <c r="F13" s="231"/>
    </row>
    <row r="14" spans="1:6">
      <c r="A14" s="227" t="s">
        <v>224</v>
      </c>
      <c r="B14" s="219"/>
      <c r="C14" s="219"/>
      <c r="D14" s="231"/>
      <c r="E14" s="231"/>
      <c r="F14" s="231"/>
    </row>
    <row r="15" spans="1:6">
      <c r="A15" s="233">
        <f>'Proj Info'!B28</f>
        <v>0</v>
      </c>
      <c r="B15" s="233">
        <f>'Proj Info'!B29</f>
        <v>0</v>
      </c>
      <c r="C15" s="234"/>
      <c r="D15" s="233">
        <f>'Proj Info'!B22</f>
        <v>0</v>
      </c>
      <c r="E15" s="233"/>
      <c r="F15" s="233"/>
    </row>
    <row r="16" spans="1:6">
      <c r="A16" s="233">
        <f>'Proj Info'!B31</f>
        <v>0</v>
      </c>
      <c r="B16" s="233">
        <f>'Proj Info'!B32</f>
        <v>0</v>
      </c>
      <c r="C16" s="234"/>
      <c r="D16" s="233">
        <f>'Proj Info'!B23</f>
        <v>0</v>
      </c>
      <c r="E16" s="233"/>
      <c r="F16" s="233"/>
    </row>
    <row r="17" spans="1:6">
      <c r="A17" s="233">
        <f>'Proj Info'!B34</f>
        <v>0</v>
      </c>
      <c r="B17" s="233">
        <f>'Proj Info'!B35</f>
        <v>0</v>
      </c>
      <c r="C17" s="234"/>
      <c r="D17" s="233">
        <f>'Proj Info'!B24</f>
        <v>0</v>
      </c>
      <c r="E17" s="233"/>
      <c r="F17" s="233"/>
    </row>
    <row r="18" spans="1:6">
      <c r="A18" s="233">
        <f>'Proj Info'!B25</f>
        <v>0</v>
      </c>
      <c r="B18" s="233"/>
      <c r="C18" s="234"/>
      <c r="D18" s="233">
        <f>'Proj Info'!B27</f>
        <v>0</v>
      </c>
      <c r="E18" s="233"/>
      <c r="F18" s="233"/>
    </row>
    <row r="19" spans="1:6">
      <c r="A19" s="233">
        <f>'Proj Info'!B26</f>
        <v>0</v>
      </c>
      <c r="B19" s="233"/>
      <c r="C19" s="234"/>
      <c r="D19" s="472"/>
      <c r="E19" s="472"/>
      <c r="F19" s="472"/>
    </row>
    <row r="20" spans="1:6">
      <c r="A20" s="231"/>
      <c r="B20" s="231"/>
      <c r="C20" s="12"/>
      <c r="D20" s="235"/>
      <c r="E20" s="235"/>
      <c r="F20" s="235"/>
    </row>
    <row r="21" spans="1:6">
      <c r="A21" s="222"/>
      <c r="B21" s="221"/>
      <c r="C21" s="221"/>
      <c r="D21" s="236" t="s">
        <v>225</v>
      </c>
      <c r="E21" s="237"/>
      <c r="F21" s="236" t="s">
        <v>226</v>
      </c>
    </row>
    <row r="22" spans="1:6">
      <c r="A22" s="222" t="s">
        <v>227</v>
      </c>
      <c r="B22" s="224"/>
      <c r="C22" s="221"/>
      <c r="D22" s="224"/>
      <c r="E22" s="221"/>
      <c r="F22" s="224"/>
    </row>
    <row r="23" spans="1:6">
      <c r="A23" s="222" t="s">
        <v>228</v>
      </c>
      <c r="B23" s="224">
        <f>'Proj Info'!B61</f>
        <v>0</v>
      </c>
      <c r="C23" s="221"/>
      <c r="D23" s="224"/>
      <c r="E23" s="221"/>
      <c r="F23" s="224"/>
    </row>
    <row r="24" spans="1:6">
      <c r="A24" s="222" t="s">
        <v>229</v>
      </c>
      <c r="B24" s="224">
        <f>'Proj Info'!B62</f>
        <v>0</v>
      </c>
      <c r="C24" s="221"/>
      <c r="D24" s="224"/>
      <c r="E24" s="221"/>
      <c r="F24" s="224"/>
    </row>
    <row r="25" spans="1:6">
      <c r="A25" s="222" t="s">
        <v>228</v>
      </c>
      <c r="B25" s="470"/>
      <c r="C25" s="473"/>
      <c r="D25" s="470"/>
      <c r="E25" s="473"/>
      <c r="F25" s="470"/>
    </row>
    <row r="26" spans="1:6">
      <c r="A26" s="222" t="s">
        <v>229</v>
      </c>
      <c r="B26" s="470"/>
      <c r="C26" s="473"/>
      <c r="D26" s="470"/>
      <c r="E26" s="473"/>
      <c r="F26" s="470"/>
    </row>
    <row r="27" spans="1:6">
      <c r="A27" s="222"/>
      <c r="B27" s="224"/>
      <c r="C27" s="221"/>
      <c r="D27" s="224"/>
      <c r="E27" s="221"/>
      <c r="F27" s="224"/>
    </row>
    <row r="28" spans="1:6">
      <c r="A28" s="222"/>
      <c r="B28" s="224"/>
      <c r="C28" s="221"/>
      <c r="D28" s="224"/>
      <c r="E28" s="221"/>
      <c r="F28" s="224"/>
    </row>
    <row r="29" spans="1:6">
      <c r="A29" s="222" t="s">
        <v>230</v>
      </c>
      <c r="B29" s="224">
        <f>'Proj Info'!B37</f>
        <v>0</v>
      </c>
      <c r="C29" s="221"/>
      <c r="D29" s="224"/>
      <c r="E29" s="221"/>
      <c r="F29" s="224"/>
    </row>
    <row r="30" spans="1:6">
      <c r="A30" s="222" t="s">
        <v>229</v>
      </c>
      <c r="B30" s="224">
        <f>'Proj Info'!B38</f>
        <v>0</v>
      </c>
      <c r="C30" s="221"/>
      <c r="D30" s="224"/>
      <c r="E30" s="221"/>
      <c r="F30" s="224"/>
    </row>
    <row r="31" spans="1:6">
      <c r="A31" s="222" t="s">
        <v>230</v>
      </c>
      <c r="B31" s="470"/>
      <c r="C31" s="473"/>
      <c r="D31" s="470"/>
      <c r="E31" s="473"/>
      <c r="F31" s="470"/>
    </row>
    <row r="32" spans="1:6">
      <c r="A32" s="222" t="s">
        <v>229</v>
      </c>
      <c r="B32" s="470"/>
      <c r="C32" s="473"/>
      <c r="D32" s="470"/>
      <c r="E32" s="473"/>
      <c r="F32" s="470"/>
    </row>
    <row r="33" spans="1:6">
      <c r="A33" s="222"/>
      <c r="B33" s="221"/>
      <c r="C33" s="221"/>
      <c r="D33" s="221"/>
      <c r="E33" s="221"/>
      <c r="F33" s="221"/>
    </row>
    <row r="34" spans="1:6">
      <c r="A34" s="222" t="s">
        <v>231</v>
      </c>
      <c r="B34" s="470"/>
      <c r="C34" s="473"/>
      <c r="D34" s="470"/>
      <c r="E34" s="473"/>
      <c r="F34" s="470"/>
    </row>
    <row r="35" spans="1:6">
      <c r="A35" s="222" t="s">
        <v>232</v>
      </c>
      <c r="B35" s="470"/>
      <c r="C35" s="473"/>
      <c r="D35" s="470"/>
      <c r="E35" s="473"/>
      <c r="F35" s="470"/>
    </row>
    <row r="36" spans="1:6">
      <c r="A36" s="222" t="s">
        <v>233</v>
      </c>
      <c r="B36" s="470"/>
      <c r="C36" s="473"/>
      <c r="D36" s="470"/>
      <c r="E36" s="473"/>
      <c r="F36" s="470"/>
    </row>
    <row r="37" spans="1:6">
      <c r="A37" s="222" t="s">
        <v>234</v>
      </c>
      <c r="B37" s="470"/>
      <c r="C37" s="473"/>
      <c r="D37" s="470"/>
      <c r="E37" s="473"/>
      <c r="F37" s="470"/>
    </row>
    <row r="38" spans="1:6">
      <c r="A38" s="222" t="s">
        <v>234</v>
      </c>
      <c r="B38" s="470"/>
      <c r="C38" s="473"/>
      <c r="D38" s="470"/>
      <c r="E38" s="473"/>
      <c r="F38" s="470"/>
    </row>
    <row r="39" spans="1:6">
      <c r="A39" s="222"/>
      <c r="B39" s="221"/>
      <c r="C39" s="221"/>
      <c r="D39" s="235"/>
      <c r="E39" s="235"/>
      <c r="F39" s="235"/>
    </row>
    <row r="40" spans="1:6">
      <c r="A40" s="222" t="s">
        <v>235</v>
      </c>
      <c r="B40" s="470"/>
      <c r="C40" s="221"/>
      <c r="D40" s="231" t="s">
        <v>236</v>
      </c>
      <c r="E40" s="231"/>
      <c r="F40" s="474"/>
    </row>
  </sheetData>
  <sheetProtection sheet="1" objects="1" scenarios="1"/>
  <phoneticPr fontId="48" type="noConversion"/>
  <pageMargins left="0.75" right="0.75" top="1" bottom="1" header="0.5" footer="0.5"/>
  <pageSetup scale="9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pageSetUpPr fitToPage="1"/>
  </sheetPr>
  <dimension ref="A1:AE44"/>
  <sheetViews>
    <sheetView view="pageBreakPreview" zoomScale="87" zoomScaleNormal="87" workbookViewId="0">
      <selection activeCell="A3" sqref="A3"/>
    </sheetView>
  </sheetViews>
  <sheetFormatPr defaultRowHeight="15"/>
  <cols>
    <col min="1" max="1" width="8.77734375" customWidth="1"/>
    <col min="2" max="31" width="4.77734375" customWidth="1"/>
  </cols>
  <sheetData>
    <row r="1" spans="1:31" ht="12" customHeight="1">
      <c r="A1" s="217" t="s">
        <v>289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"/>
      <c r="AD1" s="217"/>
      <c r="AE1" s="238" t="s">
        <v>451</v>
      </c>
    </row>
    <row r="2" spans="1:31" ht="15" customHeight="1">
      <c r="A2" s="219" t="s">
        <v>518</v>
      </c>
      <c r="B2" s="220"/>
      <c r="C2" s="220"/>
      <c r="D2" s="220"/>
      <c r="E2" s="219"/>
      <c r="F2" s="220"/>
      <c r="G2" s="220"/>
      <c r="H2" s="219"/>
      <c r="I2" s="219"/>
      <c r="J2" s="219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56"/>
    </row>
    <row r="3" spans="1:31">
      <c r="A3" s="256"/>
      <c r="B3" s="221"/>
      <c r="C3" s="221"/>
      <c r="D3" s="454"/>
      <c r="E3" s="454"/>
      <c r="F3" s="454"/>
      <c r="G3" s="454"/>
      <c r="H3" s="454"/>
      <c r="I3" s="221"/>
      <c r="J3" s="219"/>
      <c r="K3" s="220"/>
      <c r="L3" s="220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"/>
      <c r="AA3" s="222" t="s">
        <v>237</v>
      </c>
      <c r="AB3" s="469"/>
      <c r="AC3" s="469"/>
      <c r="AD3" s="469"/>
      <c r="AE3" s="256"/>
    </row>
    <row r="4" spans="1:31" ht="20.100000000000001" customHeight="1">
      <c r="A4" s="263" t="s">
        <v>18</v>
      </c>
      <c r="B4" s="223">
        <f>'Proj Info'!B4</f>
        <v>0</v>
      </c>
      <c r="C4" s="223"/>
      <c r="D4" s="223"/>
      <c r="E4" s="223"/>
      <c r="F4" s="223"/>
      <c r="G4" s="311"/>
      <c r="H4" s="2"/>
      <c r="I4" s="256"/>
      <c r="J4" s="219"/>
      <c r="K4" s="220"/>
      <c r="L4" s="220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19" t="s">
        <v>216</v>
      </c>
      <c r="Z4" s="220"/>
      <c r="AA4" s="220"/>
      <c r="AB4" s="232">
        <f>'Proj Info'!B11</f>
        <v>0</v>
      </c>
      <c r="AC4" s="232"/>
      <c r="AD4" s="232"/>
      <c r="AE4" s="232"/>
    </row>
    <row r="5" spans="1:31" ht="9.9499999999999993" customHeight="1">
      <c r="A5" s="221"/>
      <c r="B5" s="221"/>
      <c r="C5" s="221"/>
      <c r="D5" s="221"/>
      <c r="E5" s="221"/>
      <c r="F5" s="221"/>
      <c r="G5" s="221"/>
      <c r="H5" s="221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</row>
    <row r="6" spans="1:31" ht="14.1" customHeight="1">
      <c r="A6" s="455"/>
      <c r="B6" s="241"/>
      <c r="C6" s="242"/>
      <c r="D6" s="242"/>
      <c r="E6" s="243"/>
      <c r="F6" s="244" t="s">
        <v>238</v>
      </c>
      <c r="G6" s="245"/>
      <c r="H6" s="245"/>
      <c r="I6" s="246"/>
      <c r="J6" s="244" t="s">
        <v>239</v>
      </c>
      <c r="K6" s="245"/>
      <c r="L6" s="247"/>
      <c r="M6" s="244" t="s">
        <v>240</v>
      </c>
      <c r="N6" s="245"/>
      <c r="O6" s="247"/>
      <c r="P6" s="456"/>
      <c r="Q6" s="457"/>
      <c r="R6" s="457"/>
      <c r="S6" s="457"/>
      <c r="T6" s="457"/>
      <c r="U6" s="458"/>
      <c r="V6" s="456"/>
      <c r="W6" s="457"/>
      <c r="X6" s="457"/>
      <c r="Y6" s="458"/>
      <c r="Z6" s="456"/>
      <c r="AA6" s="457"/>
      <c r="AB6" s="457"/>
      <c r="AC6" s="457"/>
      <c r="AD6" s="458"/>
      <c r="AE6" s="256"/>
    </row>
    <row r="7" spans="1:31" ht="14.1" customHeight="1" thickBot="1">
      <c r="A7" s="455"/>
      <c r="B7" s="248" t="s">
        <v>241</v>
      </c>
      <c r="C7" s="249"/>
      <c r="D7" s="249"/>
      <c r="E7" s="250"/>
      <c r="F7" s="248" t="s">
        <v>452</v>
      </c>
      <c r="G7" s="249"/>
      <c r="H7" s="249"/>
      <c r="I7" s="251"/>
      <c r="J7" s="248" t="s">
        <v>242</v>
      </c>
      <c r="K7" s="249"/>
      <c r="L7" s="250"/>
      <c r="M7" s="248" t="s">
        <v>243</v>
      </c>
      <c r="N7" s="249"/>
      <c r="O7" s="250"/>
      <c r="P7" s="248" t="s">
        <v>453</v>
      </c>
      <c r="Q7" s="252"/>
      <c r="R7" s="252"/>
      <c r="S7" s="252"/>
      <c r="T7" s="252"/>
      <c r="U7" s="251"/>
      <c r="V7" s="248" t="s">
        <v>244</v>
      </c>
      <c r="W7" s="252"/>
      <c r="X7" s="252"/>
      <c r="Y7" s="251"/>
      <c r="Z7" s="248" t="s">
        <v>245</v>
      </c>
      <c r="AA7" s="249"/>
      <c r="AB7" s="252"/>
      <c r="AC7" s="252"/>
      <c r="AD7" s="251"/>
      <c r="AE7" s="256"/>
    </row>
    <row r="8" spans="1:31" s="259" customFormat="1" ht="12" customHeight="1" thickTop="1">
      <c r="A8" s="262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8"/>
      <c r="Q8" s="258"/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459"/>
    </row>
    <row r="9" spans="1:31" s="259" customFormat="1" ht="12" customHeight="1">
      <c r="A9" s="262"/>
      <c r="B9" s="260" t="s">
        <v>246</v>
      </c>
      <c r="C9" s="260" t="s">
        <v>247</v>
      </c>
      <c r="D9" s="260" t="s">
        <v>248</v>
      </c>
      <c r="E9" s="261" t="s">
        <v>40</v>
      </c>
      <c r="F9" s="260" t="s">
        <v>40</v>
      </c>
      <c r="G9" s="260" t="s">
        <v>248</v>
      </c>
      <c r="H9" s="260" t="s">
        <v>248</v>
      </c>
      <c r="I9" s="260" t="s">
        <v>249</v>
      </c>
      <c r="J9" s="260" t="s">
        <v>250</v>
      </c>
      <c r="K9" s="260" t="s">
        <v>251</v>
      </c>
      <c r="L9" s="260" t="s">
        <v>40</v>
      </c>
      <c r="M9" s="260" t="s">
        <v>248</v>
      </c>
      <c r="N9" s="260" t="s">
        <v>251</v>
      </c>
      <c r="O9" s="260" t="s">
        <v>252</v>
      </c>
      <c r="P9" s="260" t="s">
        <v>40</v>
      </c>
      <c r="Q9" s="260" t="s">
        <v>40</v>
      </c>
      <c r="R9" s="260" t="s">
        <v>38</v>
      </c>
      <c r="S9" s="260" t="s">
        <v>251</v>
      </c>
      <c r="T9" s="260" t="s">
        <v>251</v>
      </c>
      <c r="U9" s="260" t="s">
        <v>248</v>
      </c>
      <c r="V9" s="260" t="s">
        <v>40</v>
      </c>
      <c r="W9" s="260" t="s">
        <v>40</v>
      </c>
      <c r="X9" s="260" t="s">
        <v>246</v>
      </c>
      <c r="Y9" s="260" t="s">
        <v>40</v>
      </c>
      <c r="Z9" s="260" t="s">
        <v>252</v>
      </c>
      <c r="AA9" s="260" t="s">
        <v>246</v>
      </c>
      <c r="AB9" s="260" t="s">
        <v>254</v>
      </c>
      <c r="AC9" s="260" t="s">
        <v>255</v>
      </c>
      <c r="AD9" s="260" t="s">
        <v>249</v>
      </c>
      <c r="AE9" s="459"/>
    </row>
    <row r="10" spans="1:31" s="259" customFormat="1" ht="12" customHeight="1">
      <c r="A10" s="262"/>
      <c r="B10" s="260" t="s">
        <v>256</v>
      </c>
      <c r="C10" s="260" t="s">
        <v>257</v>
      </c>
      <c r="D10" s="260" t="s">
        <v>258</v>
      </c>
      <c r="E10" s="261" t="s">
        <v>259</v>
      </c>
      <c r="F10" s="260" t="s">
        <v>258</v>
      </c>
      <c r="G10" s="260" t="s">
        <v>259</v>
      </c>
      <c r="H10" s="260" t="s">
        <v>258</v>
      </c>
      <c r="I10" s="260" t="s">
        <v>258</v>
      </c>
      <c r="J10" s="260" t="s">
        <v>256</v>
      </c>
      <c r="K10" s="260" t="s">
        <v>258</v>
      </c>
      <c r="L10" s="260" t="s">
        <v>260</v>
      </c>
      <c r="M10" s="260" t="s">
        <v>261</v>
      </c>
      <c r="N10" s="260" t="s">
        <v>258</v>
      </c>
      <c r="O10" s="260" t="s">
        <v>262</v>
      </c>
      <c r="P10" s="260" t="s">
        <v>263</v>
      </c>
      <c r="Q10" s="260" t="s">
        <v>263</v>
      </c>
      <c r="R10" s="260" t="s">
        <v>264</v>
      </c>
      <c r="S10" s="260" t="s">
        <v>265</v>
      </c>
      <c r="T10" s="260" t="s">
        <v>265</v>
      </c>
      <c r="U10" s="260" t="s">
        <v>259</v>
      </c>
      <c r="V10" s="260" t="s">
        <v>263</v>
      </c>
      <c r="W10" s="260" t="s">
        <v>265</v>
      </c>
      <c r="X10" s="260" t="s">
        <v>267</v>
      </c>
      <c r="Y10" s="260" t="s">
        <v>260</v>
      </c>
      <c r="Z10" s="260" t="s">
        <v>258</v>
      </c>
      <c r="AA10" s="260" t="s">
        <v>262</v>
      </c>
      <c r="AB10" s="260" t="s">
        <v>259</v>
      </c>
      <c r="AC10" s="260" t="s">
        <v>261</v>
      </c>
      <c r="AD10" s="260" t="s">
        <v>266</v>
      </c>
      <c r="AE10" s="459"/>
    </row>
    <row r="11" spans="1:31" s="259" customFormat="1" ht="12" customHeight="1">
      <c r="A11" s="262"/>
      <c r="B11" s="260" t="s">
        <v>258</v>
      </c>
      <c r="C11" s="260" t="s">
        <v>269</v>
      </c>
      <c r="D11" s="260" t="s">
        <v>257</v>
      </c>
      <c r="E11" s="261" t="s">
        <v>270</v>
      </c>
      <c r="F11" s="260" t="s">
        <v>261</v>
      </c>
      <c r="G11" s="260" t="s">
        <v>256</v>
      </c>
      <c r="H11" s="260" t="s">
        <v>257</v>
      </c>
      <c r="I11" s="260" t="s">
        <v>263</v>
      </c>
      <c r="J11" s="260" t="s">
        <v>266</v>
      </c>
      <c r="K11" s="260" t="s">
        <v>265</v>
      </c>
      <c r="L11" s="260" t="s">
        <v>259</v>
      </c>
      <c r="M11" s="260" t="s">
        <v>256</v>
      </c>
      <c r="N11" s="260" t="s">
        <v>262</v>
      </c>
      <c r="O11" s="260" t="s">
        <v>259</v>
      </c>
      <c r="P11" s="260" t="s">
        <v>266</v>
      </c>
      <c r="Q11" s="260" t="s">
        <v>266</v>
      </c>
      <c r="R11" s="260" t="s">
        <v>271</v>
      </c>
      <c r="S11" s="260" t="s">
        <v>272</v>
      </c>
      <c r="T11" s="260" t="s">
        <v>272</v>
      </c>
      <c r="U11" s="260" t="s">
        <v>271</v>
      </c>
      <c r="V11" s="260" t="s">
        <v>266</v>
      </c>
      <c r="W11" s="260" t="s">
        <v>259</v>
      </c>
      <c r="X11" s="260" t="s">
        <v>263</v>
      </c>
      <c r="Y11" s="260" t="s">
        <v>262</v>
      </c>
      <c r="Z11" s="260" t="s">
        <v>256</v>
      </c>
      <c r="AA11" s="260" t="s">
        <v>266</v>
      </c>
      <c r="AB11" s="260" t="s">
        <v>273</v>
      </c>
      <c r="AC11" s="260" t="s">
        <v>266</v>
      </c>
      <c r="AD11" s="260" t="s">
        <v>265</v>
      </c>
      <c r="AE11" s="459"/>
    </row>
    <row r="12" spans="1:31" s="259" customFormat="1" ht="12" customHeight="1">
      <c r="A12" s="262"/>
      <c r="B12" s="260" t="s">
        <v>263</v>
      </c>
      <c r="C12" s="260" t="s">
        <v>259</v>
      </c>
      <c r="D12" s="260" t="s">
        <v>269</v>
      </c>
      <c r="E12" s="261" t="s">
        <v>256</v>
      </c>
      <c r="F12" s="260" t="s">
        <v>256</v>
      </c>
      <c r="G12" s="260" t="s">
        <v>269</v>
      </c>
      <c r="H12" s="260" t="s">
        <v>264</v>
      </c>
      <c r="I12" s="260" t="s">
        <v>261</v>
      </c>
      <c r="J12" s="260" t="s">
        <v>264</v>
      </c>
      <c r="K12" s="260" t="s">
        <v>273</v>
      </c>
      <c r="L12" s="260" t="s">
        <v>263</v>
      </c>
      <c r="M12" s="260" t="s">
        <v>265</v>
      </c>
      <c r="N12" s="260" t="s">
        <v>264</v>
      </c>
      <c r="O12" s="260" t="s">
        <v>272</v>
      </c>
      <c r="P12" s="260" t="s">
        <v>262</v>
      </c>
      <c r="Q12" s="260" t="s">
        <v>262</v>
      </c>
      <c r="R12" s="260" t="s">
        <v>265</v>
      </c>
      <c r="S12" s="260" t="s">
        <v>265</v>
      </c>
      <c r="T12" s="260" t="s">
        <v>265</v>
      </c>
      <c r="U12" s="260" t="s">
        <v>259</v>
      </c>
      <c r="V12" s="260" t="s">
        <v>262</v>
      </c>
      <c r="W12" s="260" t="s">
        <v>274</v>
      </c>
      <c r="X12" s="260" t="s">
        <v>257</v>
      </c>
      <c r="Y12" s="260" t="s">
        <v>265</v>
      </c>
      <c r="Z12" s="260" t="s">
        <v>271</v>
      </c>
      <c r="AA12" s="260" t="s">
        <v>257</v>
      </c>
      <c r="AB12" s="260" t="s">
        <v>269</v>
      </c>
      <c r="AC12" s="260" t="s">
        <v>257</v>
      </c>
      <c r="AD12" s="260" t="s">
        <v>262</v>
      </c>
      <c r="AE12" s="459"/>
    </row>
    <row r="13" spans="1:31" s="259" customFormat="1" ht="12" customHeight="1">
      <c r="A13" s="262"/>
      <c r="B13" s="260" t="s">
        <v>259</v>
      </c>
      <c r="C13" s="260" t="s">
        <v>256</v>
      </c>
      <c r="D13" s="260" t="s">
        <v>266</v>
      </c>
      <c r="E13" s="261" t="s">
        <v>259</v>
      </c>
      <c r="F13" s="260" t="s">
        <v>263</v>
      </c>
      <c r="G13" s="260" t="s">
        <v>265</v>
      </c>
      <c r="H13" s="260" t="s">
        <v>265</v>
      </c>
      <c r="I13" s="260" t="s">
        <v>271</v>
      </c>
      <c r="J13" s="260" t="s">
        <v>266</v>
      </c>
      <c r="K13" s="260" t="s">
        <v>269</v>
      </c>
      <c r="L13" s="260" t="s">
        <v>265</v>
      </c>
      <c r="M13" s="260" t="s">
        <v>257</v>
      </c>
      <c r="N13" s="260" t="s">
        <v>273</v>
      </c>
      <c r="O13" s="260" t="s">
        <v>261</v>
      </c>
      <c r="P13" s="260" t="s">
        <v>259</v>
      </c>
      <c r="Q13" s="260" t="s">
        <v>259</v>
      </c>
      <c r="R13" s="260" t="s">
        <v>272</v>
      </c>
      <c r="S13" s="260" t="s">
        <v>257</v>
      </c>
      <c r="T13" s="260" t="s">
        <v>257</v>
      </c>
      <c r="U13" s="260" t="s">
        <v>257</v>
      </c>
      <c r="V13" s="260" t="s">
        <v>259</v>
      </c>
      <c r="W13" s="260" t="s">
        <v>259</v>
      </c>
      <c r="X13" s="260" t="s">
        <v>258</v>
      </c>
      <c r="Y13" s="260" t="s">
        <v>269</v>
      </c>
      <c r="Z13" s="260"/>
      <c r="AA13" s="260" t="s">
        <v>269</v>
      </c>
      <c r="AB13" s="260"/>
      <c r="AC13" s="260" t="s">
        <v>269</v>
      </c>
      <c r="AD13" s="260" t="s">
        <v>267</v>
      </c>
      <c r="AE13" s="459"/>
    </row>
    <row r="14" spans="1:31" s="259" customFormat="1" ht="12" customHeight="1">
      <c r="A14" s="262"/>
      <c r="B14" s="260" t="s">
        <v>264</v>
      </c>
      <c r="C14" s="260" t="s">
        <v>271</v>
      </c>
      <c r="D14" s="260" t="s">
        <v>271</v>
      </c>
      <c r="E14" s="261" t="s">
        <v>270</v>
      </c>
      <c r="F14" s="260" t="s">
        <v>259</v>
      </c>
      <c r="G14" s="260" t="s">
        <v>276</v>
      </c>
      <c r="H14" s="260" t="s">
        <v>269</v>
      </c>
      <c r="I14" s="260" t="s">
        <v>259</v>
      </c>
      <c r="J14" s="260" t="s">
        <v>269</v>
      </c>
      <c r="K14" s="260" t="s">
        <v>261</v>
      </c>
      <c r="L14" s="260" t="s">
        <v>276</v>
      </c>
      <c r="M14" s="260" t="s">
        <v>270</v>
      </c>
      <c r="N14" s="260"/>
      <c r="O14" s="260" t="s">
        <v>256</v>
      </c>
      <c r="P14" s="260"/>
      <c r="Q14" s="260"/>
      <c r="R14" s="260" t="s">
        <v>269</v>
      </c>
      <c r="S14" s="260" t="s">
        <v>270</v>
      </c>
      <c r="T14" s="260" t="s">
        <v>270</v>
      </c>
      <c r="U14" s="260" t="s">
        <v>269</v>
      </c>
      <c r="V14" s="260" t="s">
        <v>273</v>
      </c>
      <c r="W14" s="260" t="s">
        <v>273</v>
      </c>
      <c r="X14" s="260" t="s">
        <v>271</v>
      </c>
      <c r="Y14" s="260" t="s">
        <v>269</v>
      </c>
      <c r="Z14" s="260">
        <v>8</v>
      </c>
      <c r="AA14" s="260"/>
      <c r="AB14" s="260" t="s">
        <v>277</v>
      </c>
      <c r="AC14" s="260" t="s">
        <v>265</v>
      </c>
      <c r="AD14" s="260"/>
      <c r="AE14" s="459"/>
    </row>
    <row r="15" spans="1:31" s="259" customFormat="1" ht="12" customHeight="1">
      <c r="A15" s="262"/>
      <c r="B15" s="260" t="s">
        <v>261</v>
      </c>
      <c r="C15" s="260" t="s">
        <v>265</v>
      </c>
      <c r="D15" s="260" t="s">
        <v>265</v>
      </c>
      <c r="E15" s="261" t="s">
        <v>266</v>
      </c>
      <c r="F15" s="260" t="s">
        <v>273</v>
      </c>
      <c r="G15" s="260" t="s">
        <v>265</v>
      </c>
      <c r="H15" s="260" t="s">
        <v>265</v>
      </c>
      <c r="I15" s="260" t="s">
        <v>257</v>
      </c>
      <c r="J15" s="260" t="s">
        <v>265</v>
      </c>
      <c r="K15" s="260" t="s">
        <v>256</v>
      </c>
      <c r="L15" s="260" t="s">
        <v>265</v>
      </c>
      <c r="M15" s="260"/>
      <c r="N15" s="260"/>
      <c r="O15" s="260" t="s">
        <v>266</v>
      </c>
      <c r="P15" s="260" t="s">
        <v>37</v>
      </c>
      <c r="Q15" s="260" t="s">
        <v>279</v>
      </c>
      <c r="R15" s="260" t="s">
        <v>261</v>
      </c>
      <c r="S15" s="260"/>
      <c r="T15" s="260"/>
      <c r="U15" s="260"/>
      <c r="V15" s="260"/>
      <c r="W15" s="260"/>
      <c r="X15" s="260" t="s">
        <v>259</v>
      </c>
      <c r="Y15" s="260" t="s">
        <v>259</v>
      </c>
      <c r="Z15" s="260">
        <v>0</v>
      </c>
      <c r="AA15" s="260" t="s">
        <v>248</v>
      </c>
      <c r="AB15" s="260" t="s">
        <v>454</v>
      </c>
      <c r="AC15" s="260" t="s">
        <v>269</v>
      </c>
      <c r="AD15" s="260" t="s">
        <v>249</v>
      </c>
      <c r="AE15" s="459"/>
    </row>
    <row r="16" spans="1:31" s="259" customFormat="1" ht="12" customHeight="1">
      <c r="A16" s="262"/>
      <c r="B16" s="260" t="s">
        <v>256</v>
      </c>
      <c r="C16" s="260" t="s">
        <v>257</v>
      </c>
      <c r="D16" s="260" t="s">
        <v>257</v>
      </c>
      <c r="E16" s="261" t="s">
        <v>269</v>
      </c>
      <c r="F16" s="260"/>
      <c r="G16" s="260" t="s">
        <v>263</v>
      </c>
      <c r="H16" s="260" t="s">
        <v>258</v>
      </c>
      <c r="I16" s="260" t="s">
        <v>269</v>
      </c>
      <c r="J16" s="260" t="s">
        <v>258</v>
      </c>
      <c r="K16" s="260" t="s">
        <v>259</v>
      </c>
      <c r="L16" s="260" t="s">
        <v>263</v>
      </c>
      <c r="M16" s="260"/>
      <c r="N16" s="260"/>
      <c r="O16" s="260" t="s">
        <v>262</v>
      </c>
      <c r="P16" s="260" t="s">
        <v>259</v>
      </c>
      <c r="Q16" s="260" t="s">
        <v>260</v>
      </c>
      <c r="R16" s="260" t="s">
        <v>256</v>
      </c>
      <c r="S16" s="260" t="s">
        <v>254</v>
      </c>
      <c r="T16" s="260" t="s">
        <v>278</v>
      </c>
      <c r="U16" s="260" t="s">
        <v>285</v>
      </c>
      <c r="V16" s="260"/>
      <c r="W16" s="260"/>
      <c r="X16" s="260" t="s">
        <v>269</v>
      </c>
      <c r="Y16" s="260" t="s">
        <v>256</v>
      </c>
      <c r="Z16" s="260">
        <v>0</v>
      </c>
      <c r="AA16" s="260" t="s">
        <v>268</v>
      </c>
      <c r="AB16" s="260" t="s">
        <v>261</v>
      </c>
      <c r="AC16" s="260" t="s">
        <v>265</v>
      </c>
      <c r="AD16" s="260" t="s">
        <v>265</v>
      </c>
      <c r="AE16" s="459"/>
    </row>
    <row r="17" spans="1:31" s="259" customFormat="1" ht="12" customHeight="1">
      <c r="A17" s="262"/>
      <c r="B17" s="260" t="s">
        <v>259</v>
      </c>
      <c r="C17" s="260" t="s">
        <v>270</v>
      </c>
      <c r="D17" s="260" t="s">
        <v>266</v>
      </c>
      <c r="E17" s="261" t="s">
        <v>265</v>
      </c>
      <c r="F17" s="260"/>
      <c r="G17" s="260" t="s">
        <v>266</v>
      </c>
      <c r="H17" s="260" t="s">
        <v>257</v>
      </c>
      <c r="I17" s="260" t="s">
        <v>266</v>
      </c>
      <c r="J17" s="260" t="s">
        <v>257</v>
      </c>
      <c r="K17" s="260" t="s">
        <v>273</v>
      </c>
      <c r="L17" s="260"/>
      <c r="M17" s="260"/>
      <c r="N17" s="260"/>
      <c r="O17" s="260"/>
      <c r="P17" s="260" t="s">
        <v>265</v>
      </c>
      <c r="Q17" s="260" t="s">
        <v>259</v>
      </c>
      <c r="R17" s="260" t="s">
        <v>259</v>
      </c>
      <c r="S17" s="260" t="s">
        <v>265</v>
      </c>
      <c r="T17" s="260" t="s">
        <v>259</v>
      </c>
      <c r="U17" s="260" t="s">
        <v>265</v>
      </c>
      <c r="V17" s="260"/>
      <c r="W17" s="260"/>
      <c r="X17" s="260" t="s">
        <v>259</v>
      </c>
      <c r="Y17" s="260" t="s">
        <v>273</v>
      </c>
      <c r="Z17" s="260">
        <v>2</v>
      </c>
      <c r="AA17" s="260" t="s">
        <v>259</v>
      </c>
      <c r="AB17" s="260" t="s">
        <v>265</v>
      </c>
      <c r="AC17" s="260" t="s">
        <v>259</v>
      </c>
      <c r="AD17" s="260" t="s">
        <v>266</v>
      </c>
      <c r="AE17" s="459"/>
    </row>
    <row r="18" spans="1:31" s="259" customFormat="1" ht="12" customHeight="1">
      <c r="A18" s="262"/>
      <c r="B18" s="260"/>
      <c r="C18" s="260" t="s">
        <v>262</v>
      </c>
      <c r="D18" s="260" t="s">
        <v>269</v>
      </c>
      <c r="E18" s="261" t="s">
        <v>258</v>
      </c>
      <c r="F18" s="260"/>
      <c r="G18" s="260" t="s">
        <v>269</v>
      </c>
      <c r="H18" s="260"/>
      <c r="I18" s="260" t="s">
        <v>269</v>
      </c>
      <c r="J18" s="260" t="s">
        <v>273</v>
      </c>
      <c r="K18" s="260"/>
      <c r="L18" s="260" t="s">
        <v>250</v>
      </c>
      <c r="M18" s="260"/>
      <c r="N18" s="260"/>
      <c r="O18" s="260" t="s">
        <v>254</v>
      </c>
      <c r="P18" s="260" t="s">
        <v>270</v>
      </c>
      <c r="Q18" s="260" t="s">
        <v>256</v>
      </c>
      <c r="R18" s="260"/>
      <c r="S18" s="260" t="s">
        <v>271</v>
      </c>
      <c r="T18" s="260" t="s">
        <v>274</v>
      </c>
      <c r="U18" s="260" t="s">
        <v>259</v>
      </c>
      <c r="V18" s="260"/>
      <c r="W18" s="260"/>
      <c r="X18" s="260" t="s">
        <v>256</v>
      </c>
      <c r="Y18" s="260"/>
      <c r="Z18" s="260">
        <v>4</v>
      </c>
      <c r="AA18" s="260" t="s">
        <v>263</v>
      </c>
      <c r="AB18" s="260" t="s">
        <v>260</v>
      </c>
      <c r="AC18" s="260" t="s">
        <v>273</v>
      </c>
      <c r="AD18" s="260" t="s">
        <v>256</v>
      </c>
      <c r="AE18" s="459"/>
    </row>
    <row r="19" spans="1:31" s="259" customFormat="1" ht="12" customHeight="1">
      <c r="A19" s="262"/>
      <c r="B19" s="260"/>
      <c r="C19" s="260" t="s">
        <v>265</v>
      </c>
      <c r="D19" s="260" t="s">
        <v>265</v>
      </c>
      <c r="E19" s="261" t="s">
        <v>257</v>
      </c>
      <c r="F19" s="260"/>
      <c r="G19" s="260" t="s">
        <v>265</v>
      </c>
      <c r="H19" s="260"/>
      <c r="I19" s="260" t="s">
        <v>265</v>
      </c>
      <c r="J19" s="260"/>
      <c r="K19" s="260"/>
      <c r="L19" s="260" t="s">
        <v>256</v>
      </c>
      <c r="M19" s="260"/>
      <c r="N19" s="260"/>
      <c r="O19" s="260" t="s">
        <v>259</v>
      </c>
      <c r="P19" s="260" t="s">
        <v>268</v>
      </c>
      <c r="Q19" s="260" t="s">
        <v>266</v>
      </c>
      <c r="R19" s="260" t="s">
        <v>249</v>
      </c>
      <c r="S19" s="260" t="s">
        <v>259</v>
      </c>
      <c r="T19" s="260" t="s">
        <v>258</v>
      </c>
      <c r="U19" s="260" t="s">
        <v>262</v>
      </c>
      <c r="V19" s="260"/>
      <c r="W19" s="260"/>
      <c r="X19" s="260" t="s">
        <v>273</v>
      </c>
      <c r="Y19" s="260"/>
      <c r="Z19" s="260">
        <v>0</v>
      </c>
      <c r="AA19" s="260" t="s">
        <v>275</v>
      </c>
      <c r="AB19" s="260" t="s">
        <v>271</v>
      </c>
      <c r="AC19" s="260"/>
      <c r="AD19" s="260" t="s">
        <v>267</v>
      </c>
      <c r="AE19" s="459"/>
    </row>
    <row r="20" spans="1:31" s="259" customFormat="1" ht="12" customHeight="1">
      <c r="A20" s="262"/>
      <c r="B20" s="260"/>
      <c r="C20" s="260" t="s">
        <v>257</v>
      </c>
      <c r="D20" s="260" t="s">
        <v>258</v>
      </c>
      <c r="E20" s="261"/>
      <c r="F20" s="260"/>
      <c r="G20" s="260" t="s">
        <v>258</v>
      </c>
      <c r="H20" s="260"/>
      <c r="I20" s="260" t="s">
        <v>258</v>
      </c>
      <c r="J20" s="260"/>
      <c r="K20" s="260"/>
      <c r="L20" s="260" t="s">
        <v>266</v>
      </c>
      <c r="M20" s="260"/>
      <c r="N20" s="260"/>
      <c r="O20" s="260" t="s">
        <v>273</v>
      </c>
      <c r="P20" s="260" t="s">
        <v>269</v>
      </c>
      <c r="Q20" s="260" t="s">
        <v>269</v>
      </c>
      <c r="R20" s="260" t="s">
        <v>265</v>
      </c>
      <c r="S20" s="260"/>
      <c r="T20" s="260" t="s">
        <v>262</v>
      </c>
      <c r="U20" s="260" t="s">
        <v>264</v>
      </c>
      <c r="V20" s="260"/>
      <c r="W20" s="260"/>
      <c r="X20" s="260"/>
      <c r="Y20" s="260"/>
      <c r="Z20" s="260" t="s">
        <v>271</v>
      </c>
      <c r="AA20" s="260" t="s">
        <v>273</v>
      </c>
      <c r="AB20" s="260" t="s">
        <v>259</v>
      </c>
      <c r="AC20" s="260"/>
      <c r="AD20" s="260"/>
      <c r="AE20" s="459"/>
    </row>
    <row r="21" spans="1:31" s="259" customFormat="1" ht="12" customHeight="1">
      <c r="A21" s="262"/>
      <c r="B21" s="260"/>
      <c r="C21" s="260" t="s">
        <v>270</v>
      </c>
      <c r="D21" s="260" t="s">
        <v>257</v>
      </c>
      <c r="E21" s="261"/>
      <c r="F21" s="260"/>
      <c r="G21" s="260" t="s">
        <v>257</v>
      </c>
      <c r="H21" s="260"/>
      <c r="I21" s="260" t="s">
        <v>257</v>
      </c>
      <c r="J21" s="260"/>
      <c r="K21" s="260"/>
      <c r="L21" s="260" t="s">
        <v>274</v>
      </c>
      <c r="M21" s="260"/>
      <c r="N21" s="260"/>
      <c r="O21" s="260" t="s">
        <v>269</v>
      </c>
      <c r="P21" s="260" t="s">
        <v>273</v>
      </c>
      <c r="Q21" s="260" t="s">
        <v>265</v>
      </c>
      <c r="R21" s="260" t="s">
        <v>273</v>
      </c>
      <c r="S21" s="260"/>
      <c r="T21" s="260" t="s">
        <v>280</v>
      </c>
      <c r="U21" s="260" t="s">
        <v>273</v>
      </c>
      <c r="V21" s="260"/>
      <c r="W21" s="260"/>
      <c r="X21" s="260"/>
      <c r="Y21" s="260"/>
      <c r="Z21" s="260"/>
      <c r="AA21" s="260"/>
      <c r="AB21" s="260" t="s">
        <v>257</v>
      </c>
      <c r="AC21" s="260"/>
      <c r="AD21" s="260"/>
      <c r="AE21" s="459"/>
    </row>
    <row r="22" spans="1:31" s="259" customFormat="1" ht="12" customHeight="1">
      <c r="A22" s="262"/>
      <c r="B22" s="260"/>
      <c r="C22" s="260"/>
      <c r="D22" s="260"/>
      <c r="E22" s="261"/>
      <c r="F22" s="260"/>
      <c r="G22" s="260" t="s">
        <v>273</v>
      </c>
      <c r="H22" s="260"/>
      <c r="I22" s="260"/>
      <c r="J22" s="260"/>
      <c r="K22" s="260"/>
      <c r="L22" s="260" t="s">
        <v>280</v>
      </c>
      <c r="M22" s="260"/>
      <c r="N22" s="260"/>
      <c r="O22" s="260"/>
      <c r="P22" s="260"/>
      <c r="Q22" s="260" t="s">
        <v>258</v>
      </c>
      <c r="R22" s="260" t="s">
        <v>260</v>
      </c>
      <c r="S22" s="260"/>
      <c r="T22" s="260"/>
      <c r="U22" s="260"/>
      <c r="V22" s="260"/>
      <c r="W22" s="260"/>
      <c r="X22" s="260"/>
      <c r="Y22" s="260"/>
      <c r="Z22" s="260"/>
      <c r="AA22" s="260"/>
      <c r="AB22" s="260" t="s">
        <v>269</v>
      </c>
      <c r="AC22" s="260"/>
      <c r="AD22" s="260"/>
      <c r="AE22" s="459"/>
    </row>
    <row r="23" spans="1:31" s="259" customFormat="1" ht="12" customHeight="1">
      <c r="A23" s="262"/>
      <c r="B23" s="260"/>
      <c r="C23" s="260"/>
      <c r="D23" s="260"/>
      <c r="E23" s="261"/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0"/>
      <c r="Q23" s="260" t="s">
        <v>257</v>
      </c>
      <c r="R23" s="260" t="s">
        <v>280</v>
      </c>
      <c r="S23" s="257"/>
      <c r="T23" s="257"/>
      <c r="U23" s="257"/>
      <c r="V23" s="260"/>
      <c r="W23" s="260"/>
      <c r="X23" s="260"/>
      <c r="Y23" s="260"/>
      <c r="Z23" s="260"/>
      <c r="AA23" s="260"/>
      <c r="AB23" s="260"/>
      <c r="AC23" s="260"/>
      <c r="AD23" s="260"/>
      <c r="AE23" s="459"/>
    </row>
    <row r="24" spans="1:31">
      <c r="A24" s="268" t="s">
        <v>281</v>
      </c>
      <c r="B24" s="460"/>
      <c r="C24" s="460"/>
      <c r="D24" s="460"/>
      <c r="E24" s="460"/>
      <c r="F24" s="460"/>
      <c r="G24" s="460"/>
      <c r="H24" s="460"/>
      <c r="I24" s="461"/>
      <c r="J24" s="461"/>
      <c r="K24" s="461"/>
      <c r="L24" s="461"/>
      <c r="M24" s="461"/>
      <c r="N24" s="461"/>
      <c r="O24" s="461"/>
      <c r="P24" s="461"/>
      <c r="Q24" s="460"/>
      <c r="R24" s="460"/>
      <c r="S24" s="461"/>
      <c r="T24" s="461"/>
      <c r="U24" s="461"/>
      <c r="V24" s="254"/>
      <c r="W24" s="254"/>
      <c r="X24" s="254"/>
      <c r="Y24" s="254"/>
      <c r="Z24" s="254"/>
      <c r="AA24" s="254"/>
      <c r="AB24" s="254"/>
      <c r="AC24" s="254"/>
      <c r="AD24" s="254"/>
      <c r="AE24" s="255" t="s">
        <v>282</v>
      </c>
    </row>
    <row r="25" spans="1:31" ht="24.95" customHeight="1">
      <c r="A25" s="475"/>
      <c r="B25" s="476"/>
      <c r="C25" s="476"/>
      <c r="D25" s="476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</row>
    <row r="26" spans="1:31" ht="24.95" customHeight="1">
      <c r="A26" s="475"/>
      <c r="B26" s="476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</row>
    <row r="27" spans="1:31" ht="24.95" customHeight="1">
      <c r="A27" s="475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</row>
    <row r="28" spans="1:31" ht="24.95" customHeight="1">
      <c r="A28" s="475"/>
      <c r="B28" s="476"/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6"/>
      <c r="AA28" s="476"/>
      <c r="AB28" s="476"/>
      <c r="AC28" s="476"/>
      <c r="AD28" s="476"/>
      <c r="AE28" s="476"/>
    </row>
    <row r="29" spans="1:31" ht="24.95" customHeight="1">
      <c r="A29" s="475"/>
      <c r="B29" s="476"/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6"/>
      <c r="AA29" s="476"/>
      <c r="AB29" s="476"/>
      <c r="AC29" s="476"/>
      <c r="AD29" s="476"/>
      <c r="AE29" s="476"/>
    </row>
    <row r="30" spans="1:31" ht="24.95" customHeight="1">
      <c r="A30" s="475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6"/>
      <c r="AA30" s="476"/>
      <c r="AB30" s="476"/>
      <c r="AC30" s="476"/>
      <c r="AD30" s="476"/>
      <c r="AE30" s="476"/>
    </row>
    <row r="31" spans="1:31" ht="24.95" customHeight="1">
      <c r="A31" s="475"/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</row>
    <row r="32" spans="1:31" ht="24.95" customHeight="1">
      <c r="A32" s="475"/>
      <c r="B32" s="476"/>
      <c r="C32" s="476"/>
      <c r="D32" s="476"/>
      <c r="E32" s="476"/>
      <c r="F32" s="476"/>
      <c r="G32" s="476"/>
      <c r="H32" s="476"/>
      <c r="I32" s="476"/>
      <c r="J32" s="476"/>
      <c r="K32" s="476"/>
      <c r="L32" s="476"/>
      <c r="M32" s="476"/>
      <c r="N32" s="476"/>
      <c r="O32" s="476"/>
      <c r="P32" s="476"/>
      <c r="Q32" s="476"/>
      <c r="R32" s="476"/>
      <c r="S32" s="476"/>
      <c r="T32" s="476"/>
      <c r="U32" s="476"/>
      <c r="V32" s="476"/>
      <c r="W32" s="476"/>
      <c r="X32" s="476"/>
      <c r="Y32" s="476"/>
      <c r="Z32" s="476"/>
      <c r="AA32" s="476"/>
      <c r="AB32" s="476"/>
      <c r="AC32" s="476"/>
      <c r="AD32" s="476"/>
      <c r="AE32" s="476"/>
    </row>
    <row r="33" spans="1:31" ht="24.95" customHeight="1">
      <c r="A33" s="475"/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</row>
    <row r="34" spans="1:31" ht="24.95" customHeight="1">
      <c r="A34" s="475"/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6"/>
      <c r="AA34" s="476"/>
      <c r="AB34" s="476"/>
      <c r="AC34" s="476"/>
      <c r="AD34" s="476"/>
      <c r="AE34" s="476"/>
    </row>
    <row r="35" spans="1:31" ht="24.95" customHeight="1">
      <c r="A35" s="475"/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</row>
    <row r="36" spans="1:31" ht="24.95" customHeight="1">
      <c r="A36" s="475"/>
      <c r="B36" s="476"/>
      <c r="C36" s="476"/>
      <c r="D36" s="476"/>
      <c r="E36" s="476"/>
      <c r="F36" s="476"/>
      <c r="G36" s="476"/>
      <c r="H36" s="476"/>
      <c r="I36" s="476"/>
      <c r="J36" s="476"/>
      <c r="K36" s="476"/>
      <c r="L36" s="476"/>
      <c r="M36" s="476"/>
      <c r="N36" s="476"/>
      <c r="O36" s="476"/>
      <c r="P36" s="476"/>
      <c r="Q36" s="476"/>
      <c r="R36" s="476"/>
      <c r="S36" s="476"/>
      <c r="T36" s="476"/>
      <c r="U36" s="476"/>
      <c r="V36" s="476"/>
      <c r="W36" s="476"/>
      <c r="X36" s="476"/>
      <c r="Y36" s="476"/>
      <c r="Z36" s="476"/>
      <c r="AA36" s="476"/>
      <c r="AB36" s="476"/>
      <c r="AC36" s="476"/>
      <c r="AD36" s="476"/>
      <c r="AE36" s="476"/>
    </row>
    <row r="37" spans="1:31" ht="24.95" customHeight="1">
      <c r="A37" s="475"/>
      <c r="B37" s="476"/>
      <c r="C37" s="476"/>
      <c r="D37" s="476"/>
      <c r="E37" s="476"/>
      <c r="F37" s="476"/>
      <c r="G37" s="476"/>
      <c r="H37" s="476"/>
      <c r="I37" s="476"/>
      <c r="J37" s="476"/>
      <c r="K37" s="476"/>
      <c r="L37" s="476"/>
      <c r="M37" s="476"/>
      <c r="N37" s="476"/>
      <c r="O37" s="476"/>
      <c r="P37" s="476"/>
      <c r="Q37" s="476"/>
      <c r="R37" s="476"/>
      <c r="S37" s="476"/>
      <c r="T37" s="476"/>
      <c r="U37" s="476"/>
      <c r="V37" s="476"/>
      <c r="W37" s="476"/>
      <c r="X37" s="476"/>
      <c r="Y37" s="476"/>
      <c r="Z37" s="476"/>
      <c r="AA37" s="476"/>
      <c r="AB37" s="476"/>
      <c r="AC37" s="476"/>
      <c r="AD37" s="476"/>
      <c r="AE37" s="476"/>
    </row>
    <row r="38" spans="1:31" ht="24.95" customHeight="1">
      <c r="A38" s="475"/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  <c r="V38" s="476"/>
      <c r="W38" s="476"/>
      <c r="X38" s="476"/>
      <c r="Y38" s="476"/>
      <c r="Z38" s="476"/>
      <c r="AA38" s="476"/>
      <c r="AB38" s="476"/>
      <c r="AC38" s="476"/>
      <c r="AD38" s="476"/>
      <c r="AE38" s="476"/>
    </row>
    <row r="39" spans="1:31" ht="24.95" customHeight="1">
      <c r="A39" s="475"/>
      <c r="B39" s="476"/>
      <c r="C39" s="476"/>
      <c r="D39" s="476"/>
      <c r="E39" s="476"/>
      <c r="F39" s="476"/>
      <c r="G39" s="476"/>
      <c r="H39" s="476"/>
      <c r="I39" s="476"/>
      <c r="J39" s="476"/>
      <c r="K39" s="476"/>
      <c r="L39" s="476"/>
      <c r="M39" s="476"/>
      <c r="N39" s="476"/>
      <c r="O39" s="476"/>
      <c r="P39" s="476"/>
      <c r="Q39" s="476"/>
      <c r="R39" s="476"/>
      <c r="S39" s="476"/>
      <c r="T39" s="476"/>
      <c r="U39" s="476"/>
      <c r="V39" s="476"/>
      <c r="W39" s="476"/>
      <c r="X39" s="476"/>
      <c r="Y39" s="476"/>
      <c r="Z39" s="476"/>
      <c r="AA39" s="476"/>
      <c r="AB39" s="476"/>
      <c r="AC39" s="476"/>
      <c r="AD39" s="476"/>
      <c r="AE39" s="476"/>
    </row>
    <row r="40" spans="1:31" ht="24.95" customHeight="1">
      <c r="A40" s="475"/>
      <c r="B40" s="476"/>
      <c r="C40" s="476"/>
      <c r="D40" s="476"/>
      <c r="E40" s="476"/>
      <c r="F40" s="476"/>
      <c r="G40" s="476"/>
      <c r="H40" s="476"/>
      <c r="I40" s="476"/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476"/>
      <c r="U40" s="476"/>
      <c r="V40" s="476"/>
      <c r="W40" s="476"/>
      <c r="X40" s="476"/>
      <c r="Y40" s="476"/>
      <c r="Z40" s="476"/>
      <c r="AA40" s="476"/>
      <c r="AB40" s="476"/>
      <c r="AC40" s="476"/>
      <c r="AD40" s="476"/>
      <c r="AE40" s="476"/>
    </row>
    <row r="41" spans="1:31" ht="17.100000000000001" customHeight="1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6"/>
      <c r="P41" s="256"/>
      <c r="Q41" s="256"/>
      <c r="R41" s="256"/>
      <c r="S41" s="256"/>
      <c r="T41" s="256"/>
      <c r="U41" s="256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</row>
    <row r="42" spans="1:31" ht="17.100000000000001" customHeight="1">
      <c r="A42" s="221" t="s">
        <v>283</v>
      </c>
      <c r="B42" s="221"/>
      <c r="C42" s="255" t="s">
        <v>284</v>
      </c>
      <c r="D42" s="255" t="s">
        <v>285</v>
      </c>
      <c r="E42" s="256"/>
      <c r="F42" s="256"/>
      <c r="G42" s="21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</row>
    <row r="43" spans="1:31" ht="17.100000000000001" customHeight="1">
      <c r="A43" s="221" t="s">
        <v>286</v>
      </c>
      <c r="B43" s="256"/>
      <c r="C43" s="255" t="s">
        <v>284</v>
      </c>
      <c r="D43" s="255" t="s">
        <v>249</v>
      </c>
      <c r="E43" s="256"/>
      <c r="F43" s="256"/>
      <c r="G43" s="256"/>
      <c r="H43" s="256"/>
      <c r="I43" s="256"/>
      <c r="J43" s="21"/>
      <c r="K43" s="256"/>
      <c r="L43" s="256"/>
      <c r="M43" s="221" t="s">
        <v>287</v>
      </c>
      <c r="N43" s="256"/>
      <c r="O43" s="21"/>
      <c r="P43" s="21"/>
      <c r="Q43" s="21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</row>
    <row r="44" spans="1:31">
      <c r="A44" s="221" t="s">
        <v>288</v>
      </c>
      <c r="B44" s="256"/>
      <c r="C44" s="255" t="s">
        <v>284</v>
      </c>
      <c r="D44" s="255" t="s">
        <v>92</v>
      </c>
      <c r="E44" s="256"/>
      <c r="F44" s="256"/>
      <c r="G44" s="256"/>
      <c r="H44" s="256"/>
      <c r="I44" s="256"/>
      <c r="J44" s="256"/>
      <c r="K44" s="221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</row>
  </sheetData>
  <sheetProtection sheet="1" objects="1" scenarios="1"/>
  <phoneticPr fontId="48" type="noConversion"/>
  <pageMargins left="0.75" right="0.75" top="1" bottom="1" header="0.5" footer="0.5"/>
  <pageSetup scale="60" orientation="landscape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view="pageBreakPreview" zoomScale="87" zoomScaleNormal="87" workbookViewId="0">
      <selection activeCell="N1" sqref="N1:N1048576"/>
    </sheetView>
  </sheetViews>
  <sheetFormatPr defaultRowHeight="15"/>
  <cols>
    <col min="2" max="5" width="4.77734375" customWidth="1"/>
    <col min="6" max="6" width="6.77734375" customWidth="1"/>
    <col min="7" max="8" width="5.77734375" customWidth="1"/>
    <col min="10" max="13" width="4.77734375" customWidth="1"/>
    <col min="14" max="14" width="6.77734375" customWidth="1"/>
    <col min="15" max="31" width="4.77734375" customWidth="1"/>
  </cols>
  <sheetData>
    <row r="1" spans="1:15" ht="12" customHeight="1">
      <c r="A1" s="217" t="s">
        <v>212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38" t="s">
        <v>455</v>
      </c>
    </row>
    <row r="2" spans="1:15" ht="15" customHeight="1">
      <c r="A2" s="219" t="s">
        <v>518</v>
      </c>
      <c r="B2" s="220"/>
      <c r="C2" s="220"/>
      <c r="D2" s="220"/>
      <c r="E2" s="219"/>
      <c r="F2" s="219"/>
      <c r="G2" s="220"/>
      <c r="H2" s="220"/>
      <c r="I2" s="219"/>
      <c r="J2" s="219"/>
      <c r="K2" s="219"/>
      <c r="L2" s="220"/>
      <c r="M2" s="220"/>
      <c r="N2" s="220"/>
      <c r="O2" s="12"/>
    </row>
    <row r="3" spans="1:15">
      <c r="A3" s="256"/>
      <c r="B3" s="221"/>
      <c r="C3" s="221"/>
      <c r="D3" s="454"/>
      <c r="E3" s="454"/>
      <c r="F3" s="454"/>
      <c r="G3" s="454"/>
      <c r="H3" s="454"/>
      <c r="I3" s="21"/>
      <c r="J3" s="222" t="s">
        <v>237</v>
      </c>
      <c r="K3" s="469"/>
      <c r="L3" s="469"/>
      <c r="M3" s="477"/>
      <c r="N3" s="21"/>
      <c r="O3" s="12"/>
    </row>
    <row r="4" spans="1:15" ht="20.100000000000001" customHeight="1">
      <c r="A4" s="263" t="s">
        <v>18</v>
      </c>
      <c r="B4" s="223">
        <f>'Proj Info'!B4</f>
        <v>0</v>
      </c>
      <c r="C4" s="223"/>
      <c r="D4" s="223"/>
      <c r="E4" s="223"/>
      <c r="F4" s="223"/>
      <c r="G4" s="311"/>
      <c r="H4" s="2"/>
      <c r="I4" s="21"/>
      <c r="J4" s="222" t="s">
        <v>216</v>
      </c>
      <c r="K4" s="232">
        <f>'Proj Info'!B11</f>
        <v>0</v>
      </c>
      <c r="L4" s="232"/>
      <c r="M4" s="232"/>
      <c r="N4" s="21"/>
      <c r="O4" s="12"/>
    </row>
    <row r="5" spans="1:15" ht="9.9499999999999993" customHeight="1">
      <c r="A5" s="221"/>
      <c r="B5" s="221"/>
      <c r="C5" s="221"/>
      <c r="D5" s="221"/>
      <c r="E5" s="221"/>
      <c r="F5" s="221"/>
      <c r="G5" s="221"/>
      <c r="H5" s="221"/>
      <c r="I5" s="256"/>
      <c r="J5" s="256"/>
      <c r="K5" s="256"/>
      <c r="L5" s="256"/>
      <c r="M5" s="256"/>
      <c r="N5" s="256"/>
      <c r="O5" s="12"/>
    </row>
    <row r="6" spans="1:15" ht="14.1" customHeight="1" thickBot="1">
      <c r="A6" s="221"/>
      <c r="B6" s="462" t="s">
        <v>456</v>
      </c>
      <c r="C6" s="463"/>
      <c r="D6" s="463"/>
      <c r="E6" s="464"/>
      <c r="F6" s="263"/>
      <c r="G6" s="219"/>
      <c r="H6" s="219"/>
      <c r="I6" s="221"/>
      <c r="J6" s="462" t="s">
        <v>457</v>
      </c>
      <c r="K6" s="463"/>
      <c r="L6" s="463"/>
      <c r="M6" s="464"/>
      <c r="N6" s="263"/>
      <c r="O6" s="264"/>
    </row>
    <row r="7" spans="1:15" ht="14.1" customHeight="1" thickTop="1">
      <c r="A7" s="262"/>
      <c r="B7" s="260"/>
      <c r="C7" s="260"/>
      <c r="D7" s="260"/>
      <c r="E7" s="260"/>
      <c r="F7" s="262"/>
      <c r="G7" s="262"/>
      <c r="H7" s="262"/>
      <c r="I7" s="262"/>
      <c r="J7" s="260"/>
      <c r="K7" s="260"/>
      <c r="L7" s="260"/>
      <c r="M7" s="260"/>
      <c r="N7" s="262"/>
      <c r="O7" s="465"/>
    </row>
    <row r="8" spans="1:15" ht="12" customHeight="1">
      <c r="A8" s="262"/>
      <c r="B8" s="260" t="s">
        <v>253</v>
      </c>
      <c r="C8" s="260" t="s">
        <v>32</v>
      </c>
      <c r="D8" s="260" t="s">
        <v>37</v>
      </c>
      <c r="E8" s="260" t="s">
        <v>250</v>
      </c>
      <c r="F8" s="262"/>
      <c r="G8" s="459"/>
      <c r="H8" s="459"/>
      <c r="I8" s="262"/>
      <c r="J8" s="260" t="s">
        <v>253</v>
      </c>
      <c r="K8" s="260" t="s">
        <v>32</v>
      </c>
      <c r="L8" s="260" t="s">
        <v>37</v>
      </c>
      <c r="M8" s="260" t="s">
        <v>250</v>
      </c>
      <c r="N8" s="262"/>
      <c r="O8" s="466"/>
    </row>
    <row r="9" spans="1:15" ht="12" customHeight="1">
      <c r="A9" s="262"/>
      <c r="B9" s="260" t="s">
        <v>266</v>
      </c>
      <c r="C9" s="260"/>
      <c r="D9" s="260" t="s">
        <v>266</v>
      </c>
      <c r="E9" s="260" t="s">
        <v>256</v>
      </c>
      <c r="F9" s="262"/>
      <c r="G9" s="262"/>
      <c r="H9" s="262"/>
      <c r="I9" s="262"/>
      <c r="J9" s="260" t="s">
        <v>266</v>
      </c>
      <c r="K9" s="260"/>
      <c r="L9" s="260" t="s">
        <v>266</v>
      </c>
      <c r="M9" s="260" t="s">
        <v>256</v>
      </c>
      <c r="N9" s="262"/>
      <c r="O9" s="465"/>
    </row>
    <row r="10" spans="1:15" ht="12" customHeight="1">
      <c r="A10" s="262"/>
      <c r="B10" s="260" t="s">
        <v>269</v>
      </c>
      <c r="C10" s="260" t="s">
        <v>252</v>
      </c>
      <c r="D10" s="260" t="s">
        <v>269</v>
      </c>
      <c r="E10" s="260" t="s">
        <v>266</v>
      </c>
      <c r="F10" s="262"/>
      <c r="G10" s="262"/>
      <c r="H10" s="262"/>
      <c r="I10" s="262"/>
      <c r="J10" s="260" t="s">
        <v>269</v>
      </c>
      <c r="K10" s="260" t="s">
        <v>252</v>
      </c>
      <c r="L10" s="260" t="s">
        <v>269</v>
      </c>
      <c r="M10" s="260" t="s">
        <v>266</v>
      </c>
      <c r="N10" s="262"/>
      <c r="O10" s="465"/>
    </row>
    <row r="11" spans="1:15" ht="12" customHeight="1">
      <c r="A11" s="262"/>
      <c r="B11" s="260" t="s">
        <v>263</v>
      </c>
      <c r="C11" s="260" t="s">
        <v>262</v>
      </c>
      <c r="D11" s="260" t="s">
        <v>259</v>
      </c>
      <c r="E11" s="260" t="s">
        <v>264</v>
      </c>
      <c r="F11" s="262"/>
      <c r="G11" s="262"/>
      <c r="H11" s="262"/>
      <c r="I11" s="262"/>
      <c r="J11" s="260" t="s">
        <v>263</v>
      </c>
      <c r="K11" s="260" t="s">
        <v>262</v>
      </c>
      <c r="L11" s="260" t="s">
        <v>259</v>
      </c>
      <c r="M11" s="260" t="s">
        <v>264</v>
      </c>
      <c r="N11" s="262"/>
      <c r="O11" s="465"/>
    </row>
    <row r="12" spans="1:15" ht="12" customHeight="1">
      <c r="A12" s="262"/>
      <c r="B12" s="260" t="s">
        <v>268</v>
      </c>
      <c r="C12" s="260" t="s">
        <v>267</v>
      </c>
      <c r="D12" s="260" t="s">
        <v>256</v>
      </c>
      <c r="E12" s="260" t="s">
        <v>266</v>
      </c>
      <c r="F12" s="262"/>
      <c r="G12" s="262"/>
      <c r="H12" s="262"/>
      <c r="I12" s="262"/>
      <c r="J12" s="260" t="s">
        <v>268</v>
      </c>
      <c r="K12" s="260" t="s">
        <v>267</v>
      </c>
      <c r="L12" s="260" t="s">
        <v>256</v>
      </c>
      <c r="M12" s="260" t="s">
        <v>266</v>
      </c>
      <c r="N12" s="262"/>
      <c r="O12" s="465"/>
    </row>
    <row r="13" spans="1:15" ht="12" customHeight="1">
      <c r="A13" s="262"/>
      <c r="B13" s="260" t="s">
        <v>388</v>
      </c>
      <c r="C13" s="260"/>
      <c r="D13" s="260"/>
      <c r="E13" s="260" t="s">
        <v>269</v>
      </c>
      <c r="F13" s="262"/>
      <c r="G13" s="262"/>
      <c r="H13" s="262"/>
      <c r="I13" s="262"/>
      <c r="J13" s="260" t="s">
        <v>388</v>
      </c>
      <c r="K13" s="260"/>
      <c r="L13" s="260"/>
      <c r="M13" s="260" t="s">
        <v>269</v>
      </c>
      <c r="N13" s="262"/>
      <c r="O13" s="465"/>
    </row>
    <row r="14" spans="1:15" ht="12" customHeight="1">
      <c r="A14" s="262"/>
      <c r="B14" s="260"/>
      <c r="C14" s="260" t="s">
        <v>38</v>
      </c>
      <c r="D14" s="260" t="s">
        <v>458</v>
      </c>
      <c r="E14" s="260" t="s">
        <v>265</v>
      </c>
      <c r="F14" s="262"/>
      <c r="G14" s="262"/>
      <c r="H14" s="262"/>
      <c r="I14" s="262"/>
      <c r="J14" s="260"/>
      <c r="K14" s="260" t="s">
        <v>38</v>
      </c>
      <c r="L14" s="260" t="s">
        <v>458</v>
      </c>
      <c r="M14" s="260" t="s">
        <v>265</v>
      </c>
      <c r="N14" s="262"/>
      <c r="O14" s="465"/>
    </row>
    <row r="15" spans="1:15" ht="12" customHeight="1">
      <c r="A15" s="262"/>
      <c r="B15" s="260" t="s">
        <v>37</v>
      </c>
      <c r="C15" s="260" t="s">
        <v>273</v>
      </c>
      <c r="D15" s="260"/>
      <c r="E15" s="260" t="s">
        <v>258</v>
      </c>
      <c r="F15" s="262"/>
      <c r="G15" s="262"/>
      <c r="H15" s="262"/>
      <c r="I15" s="262"/>
      <c r="J15" s="260" t="s">
        <v>37</v>
      </c>
      <c r="K15" s="260" t="s">
        <v>273</v>
      </c>
      <c r="L15" s="260"/>
      <c r="M15" s="260" t="s">
        <v>258</v>
      </c>
      <c r="N15" s="262"/>
      <c r="O15" s="465"/>
    </row>
    <row r="16" spans="1:15" ht="12" customHeight="1">
      <c r="A16" s="262"/>
      <c r="B16" s="260" t="s">
        <v>259</v>
      </c>
      <c r="C16" s="260" t="s">
        <v>268</v>
      </c>
      <c r="D16" s="260" t="s">
        <v>248</v>
      </c>
      <c r="E16" s="260" t="s">
        <v>257</v>
      </c>
      <c r="F16" s="262"/>
      <c r="G16" s="262"/>
      <c r="H16" s="262"/>
      <c r="I16" s="262"/>
      <c r="J16" s="260" t="s">
        <v>259</v>
      </c>
      <c r="K16" s="260" t="s">
        <v>268</v>
      </c>
      <c r="L16" s="260" t="s">
        <v>248</v>
      </c>
      <c r="M16" s="260" t="s">
        <v>257</v>
      </c>
      <c r="N16" s="262"/>
      <c r="O16" s="465"/>
    </row>
    <row r="17" spans="1:15" ht="12" customHeight="1">
      <c r="A17" s="262"/>
      <c r="B17" s="260" t="s">
        <v>265</v>
      </c>
      <c r="C17" s="260"/>
      <c r="D17" s="260" t="s">
        <v>259</v>
      </c>
      <c r="E17" s="260" t="s">
        <v>273</v>
      </c>
      <c r="F17" s="262"/>
      <c r="G17" s="262"/>
      <c r="H17" s="262"/>
      <c r="I17" s="262"/>
      <c r="J17" s="260" t="s">
        <v>265</v>
      </c>
      <c r="K17" s="260"/>
      <c r="L17" s="260" t="s">
        <v>259</v>
      </c>
      <c r="M17" s="260" t="s">
        <v>273</v>
      </c>
      <c r="N17" s="262"/>
      <c r="O17" s="465"/>
    </row>
    <row r="18" spans="1:15" ht="12" customHeight="1">
      <c r="A18" s="262"/>
      <c r="B18" s="260" t="s">
        <v>270</v>
      </c>
      <c r="C18" s="260"/>
      <c r="D18" s="260" t="s">
        <v>271</v>
      </c>
      <c r="E18" s="260"/>
      <c r="F18" s="262"/>
      <c r="G18" s="262"/>
      <c r="H18" s="262"/>
      <c r="I18" s="262"/>
      <c r="J18" s="260" t="s">
        <v>270</v>
      </c>
      <c r="K18" s="260"/>
      <c r="L18" s="260" t="s">
        <v>271</v>
      </c>
      <c r="M18" s="260"/>
      <c r="N18" s="262"/>
      <c r="O18" s="465"/>
    </row>
    <row r="19" spans="1:15" ht="12" customHeight="1">
      <c r="A19" s="262"/>
      <c r="B19" s="260" t="s">
        <v>268</v>
      </c>
      <c r="C19" s="260"/>
      <c r="D19" s="260" t="s">
        <v>259</v>
      </c>
      <c r="E19" s="260"/>
      <c r="F19" s="262"/>
      <c r="G19" s="262"/>
      <c r="H19" s="262"/>
      <c r="I19" s="262"/>
      <c r="J19" s="260" t="s">
        <v>268</v>
      </c>
      <c r="K19" s="260"/>
      <c r="L19" s="260" t="s">
        <v>259</v>
      </c>
      <c r="M19" s="260"/>
      <c r="N19" s="262"/>
      <c r="O19" s="465"/>
    </row>
    <row r="20" spans="1:15" ht="12" customHeight="1">
      <c r="A20" s="262"/>
      <c r="B20" s="260" t="s">
        <v>269</v>
      </c>
      <c r="C20" s="260"/>
      <c r="D20" s="260" t="s">
        <v>257</v>
      </c>
      <c r="E20" s="260"/>
      <c r="F20" s="262"/>
      <c r="G20" s="262"/>
      <c r="H20" s="262"/>
      <c r="I20" s="262"/>
      <c r="J20" s="260" t="s">
        <v>269</v>
      </c>
      <c r="K20" s="260"/>
      <c r="L20" s="260" t="s">
        <v>257</v>
      </c>
      <c r="M20" s="260"/>
      <c r="N20" s="262"/>
      <c r="O20" s="465"/>
    </row>
    <row r="21" spans="1:15" ht="12" customHeight="1">
      <c r="A21" s="262"/>
      <c r="B21" s="260" t="s">
        <v>273</v>
      </c>
      <c r="C21" s="260"/>
      <c r="D21" s="260" t="s">
        <v>269</v>
      </c>
      <c r="E21" s="260"/>
      <c r="F21" s="262"/>
      <c r="G21" s="262"/>
      <c r="H21" s="262"/>
      <c r="I21" s="262"/>
      <c r="J21" s="260" t="s">
        <v>273</v>
      </c>
      <c r="K21" s="260"/>
      <c r="L21" s="260" t="s">
        <v>269</v>
      </c>
      <c r="M21" s="260"/>
      <c r="N21" s="262"/>
      <c r="O21" s="465"/>
    </row>
    <row r="22" spans="1:15" ht="12" customHeight="1">
      <c r="A22" s="255" t="s">
        <v>281</v>
      </c>
      <c r="B22" s="292"/>
      <c r="C22" s="292"/>
      <c r="D22" s="292"/>
      <c r="E22" s="292"/>
      <c r="F22" s="255" t="s">
        <v>282</v>
      </c>
      <c r="G22" s="255"/>
      <c r="H22" s="255"/>
      <c r="I22" s="255" t="s">
        <v>281</v>
      </c>
      <c r="J22" s="292"/>
      <c r="K22" s="292"/>
      <c r="L22" s="292"/>
      <c r="M22" s="292"/>
      <c r="N22" s="255" t="s">
        <v>282</v>
      </c>
      <c r="O22" s="278"/>
    </row>
    <row r="23" spans="1:15" ht="24.95" customHeight="1">
      <c r="A23" s="475"/>
      <c r="B23" s="476"/>
      <c r="C23" s="476"/>
      <c r="D23" s="476"/>
      <c r="E23" s="476"/>
      <c r="F23" s="476"/>
      <c r="G23" s="478"/>
      <c r="H23" s="478"/>
      <c r="I23" s="475"/>
      <c r="J23" s="476"/>
      <c r="K23" s="476"/>
      <c r="L23" s="476"/>
      <c r="M23" s="476"/>
      <c r="N23" s="476"/>
      <c r="O23" s="12"/>
    </row>
    <row r="24" spans="1:15" ht="24.95" customHeight="1">
      <c r="A24" s="475"/>
      <c r="B24" s="476"/>
      <c r="C24" s="476"/>
      <c r="D24" s="476"/>
      <c r="E24" s="476"/>
      <c r="F24" s="476"/>
      <c r="G24" s="478"/>
      <c r="H24" s="478"/>
      <c r="I24" s="475"/>
      <c r="J24" s="476"/>
      <c r="K24" s="476"/>
      <c r="L24" s="476"/>
      <c r="M24" s="476"/>
      <c r="N24" s="476"/>
      <c r="O24" s="12"/>
    </row>
    <row r="25" spans="1:15" ht="24.95" customHeight="1">
      <c r="A25" s="475"/>
      <c r="B25" s="476"/>
      <c r="C25" s="476"/>
      <c r="D25" s="476"/>
      <c r="E25" s="476"/>
      <c r="F25" s="476"/>
      <c r="G25" s="478"/>
      <c r="H25" s="478"/>
      <c r="I25" s="475"/>
      <c r="J25" s="476"/>
      <c r="K25" s="476"/>
      <c r="L25" s="476"/>
      <c r="M25" s="476"/>
      <c r="N25" s="476"/>
      <c r="O25" s="12"/>
    </row>
    <row r="26" spans="1:15" ht="24.95" customHeight="1">
      <c r="A26" s="475"/>
      <c r="B26" s="476"/>
      <c r="C26" s="476"/>
      <c r="D26" s="476"/>
      <c r="E26" s="476"/>
      <c r="F26" s="476"/>
      <c r="G26" s="478"/>
      <c r="H26" s="478"/>
      <c r="I26" s="475"/>
      <c r="J26" s="476"/>
      <c r="K26" s="476"/>
      <c r="L26" s="476"/>
      <c r="M26" s="476"/>
      <c r="N26" s="476"/>
      <c r="O26" s="12"/>
    </row>
    <row r="27" spans="1:15" ht="24.95" customHeight="1">
      <c r="A27" s="475"/>
      <c r="B27" s="476"/>
      <c r="C27" s="476"/>
      <c r="D27" s="476"/>
      <c r="E27" s="476"/>
      <c r="F27" s="476"/>
      <c r="G27" s="478"/>
      <c r="H27" s="478"/>
      <c r="I27" s="475"/>
      <c r="J27" s="476"/>
      <c r="K27" s="476"/>
      <c r="L27" s="476"/>
      <c r="M27" s="476"/>
      <c r="N27" s="476"/>
      <c r="O27" s="12"/>
    </row>
    <row r="28" spans="1:15" ht="24.95" customHeight="1">
      <c r="A28" s="475"/>
      <c r="B28" s="476"/>
      <c r="C28" s="476"/>
      <c r="D28" s="476"/>
      <c r="E28" s="476"/>
      <c r="F28" s="476"/>
      <c r="G28" s="478"/>
      <c r="H28" s="478"/>
      <c r="I28" s="475"/>
      <c r="J28" s="476"/>
      <c r="K28" s="476"/>
      <c r="L28" s="476"/>
      <c r="M28" s="476"/>
      <c r="N28" s="476"/>
      <c r="O28" s="12"/>
    </row>
    <row r="29" spans="1:15" ht="24.95" customHeight="1">
      <c r="A29" s="475"/>
      <c r="B29" s="476"/>
      <c r="C29" s="476"/>
      <c r="D29" s="476"/>
      <c r="E29" s="476"/>
      <c r="F29" s="476"/>
      <c r="G29" s="478"/>
      <c r="H29" s="478"/>
      <c r="I29" s="475"/>
      <c r="J29" s="476"/>
      <c r="K29" s="476"/>
      <c r="L29" s="476"/>
      <c r="M29" s="476"/>
      <c r="N29" s="476"/>
      <c r="O29" s="12"/>
    </row>
    <row r="30" spans="1:15" ht="24.95" customHeight="1">
      <c r="A30" s="475"/>
      <c r="B30" s="476"/>
      <c r="C30" s="476"/>
      <c r="D30" s="476"/>
      <c r="E30" s="476"/>
      <c r="F30" s="476"/>
      <c r="G30" s="478"/>
      <c r="H30" s="478"/>
      <c r="I30" s="475"/>
      <c r="J30" s="476"/>
      <c r="K30" s="476"/>
      <c r="L30" s="476"/>
      <c r="M30" s="476"/>
      <c r="N30" s="476"/>
      <c r="O30" s="12"/>
    </row>
    <row r="31" spans="1:15" ht="24.95" customHeight="1">
      <c r="A31" s="475"/>
      <c r="B31" s="476"/>
      <c r="C31" s="476"/>
      <c r="D31" s="476"/>
      <c r="E31" s="476"/>
      <c r="F31" s="476"/>
      <c r="G31" s="478"/>
      <c r="H31" s="478"/>
      <c r="I31" s="475"/>
      <c r="J31" s="476"/>
      <c r="K31" s="476"/>
      <c r="L31" s="476"/>
      <c r="M31" s="476"/>
      <c r="N31" s="476"/>
      <c r="O31" s="12"/>
    </row>
    <row r="32" spans="1:15" ht="24.95" customHeight="1">
      <c r="A32" s="475"/>
      <c r="B32" s="476"/>
      <c r="C32" s="476"/>
      <c r="D32" s="476"/>
      <c r="E32" s="476"/>
      <c r="F32" s="476"/>
      <c r="G32" s="478"/>
      <c r="H32" s="478"/>
      <c r="I32" s="475"/>
      <c r="J32" s="476"/>
      <c r="K32" s="476"/>
      <c r="L32" s="476"/>
      <c r="M32" s="476"/>
      <c r="N32" s="476"/>
      <c r="O32" s="12"/>
    </row>
    <row r="33" spans="1:15" ht="24.95" customHeight="1">
      <c r="A33" s="475"/>
      <c r="B33" s="476"/>
      <c r="C33" s="476"/>
      <c r="D33" s="476"/>
      <c r="E33" s="476"/>
      <c r="F33" s="476"/>
      <c r="G33" s="478"/>
      <c r="H33" s="478"/>
      <c r="I33" s="475"/>
      <c r="J33" s="476"/>
      <c r="K33" s="476"/>
      <c r="L33" s="476"/>
      <c r="M33" s="476"/>
      <c r="N33" s="476"/>
      <c r="O33" s="12"/>
    </row>
    <row r="34" spans="1:15" ht="24.95" customHeight="1">
      <c r="A34" s="475"/>
      <c r="B34" s="476"/>
      <c r="C34" s="476"/>
      <c r="D34" s="476"/>
      <c r="E34" s="476"/>
      <c r="F34" s="476"/>
      <c r="G34" s="478"/>
      <c r="H34" s="478"/>
      <c r="I34" s="475"/>
      <c r="J34" s="476"/>
      <c r="K34" s="476"/>
      <c r="L34" s="476"/>
      <c r="M34" s="476"/>
      <c r="N34" s="476"/>
      <c r="O34" s="12"/>
    </row>
    <row r="35" spans="1:15" ht="24.95" customHeight="1">
      <c r="A35" s="475"/>
      <c r="B35" s="476"/>
      <c r="C35" s="476"/>
      <c r="D35" s="476"/>
      <c r="E35" s="476"/>
      <c r="F35" s="476"/>
      <c r="G35" s="478"/>
      <c r="H35" s="478"/>
      <c r="I35" s="475"/>
      <c r="J35" s="476"/>
      <c r="K35" s="476"/>
      <c r="L35" s="476"/>
      <c r="M35" s="476"/>
      <c r="N35" s="476"/>
      <c r="O35" s="12"/>
    </row>
    <row r="36" spans="1:15" ht="24.95" customHeight="1">
      <c r="A36" s="475"/>
      <c r="B36" s="476"/>
      <c r="C36" s="476"/>
      <c r="D36" s="476"/>
      <c r="E36" s="476"/>
      <c r="F36" s="476"/>
      <c r="G36" s="478"/>
      <c r="H36" s="478"/>
      <c r="I36" s="475"/>
      <c r="J36" s="476"/>
      <c r="K36" s="476"/>
      <c r="L36" s="476"/>
      <c r="M36" s="476"/>
      <c r="N36" s="476"/>
      <c r="O36" s="12"/>
    </row>
    <row r="37" spans="1:15" ht="24.95" customHeight="1">
      <c r="A37" s="475"/>
      <c r="B37" s="476"/>
      <c r="C37" s="476"/>
      <c r="D37" s="476"/>
      <c r="E37" s="476"/>
      <c r="F37" s="476"/>
      <c r="G37" s="478"/>
      <c r="H37" s="478"/>
      <c r="I37" s="475"/>
      <c r="J37" s="476"/>
      <c r="K37" s="476"/>
      <c r="L37" s="476"/>
      <c r="M37" s="476"/>
      <c r="N37" s="476"/>
      <c r="O37" s="12"/>
    </row>
    <row r="38" spans="1:15" ht="24.95" customHeight="1">
      <c r="A38" s="475"/>
      <c r="B38" s="476"/>
      <c r="C38" s="476"/>
      <c r="D38" s="476"/>
      <c r="E38" s="476"/>
      <c r="F38" s="476"/>
      <c r="G38" s="478"/>
      <c r="H38" s="478"/>
      <c r="I38" s="475"/>
      <c r="J38" s="476"/>
      <c r="K38" s="476"/>
      <c r="L38" s="476"/>
      <c r="M38" s="476"/>
      <c r="N38" s="476"/>
      <c r="O38" s="12"/>
    </row>
    <row r="39" spans="1:15" ht="24.95" customHeight="1">
      <c r="A39" s="475"/>
      <c r="B39" s="476"/>
      <c r="C39" s="476"/>
      <c r="D39" s="476"/>
      <c r="E39" s="476"/>
      <c r="F39" s="476"/>
      <c r="G39" s="478"/>
      <c r="H39" s="478"/>
      <c r="I39" s="475"/>
      <c r="J39" s="476"/>
      <c r="K39" s="476"/>
      <c r="L39" s="476"/>
      <c r="M39" s="476"/>
      <c r="N39" s="476"/>
      <c r="O39" s="12"/>
    </row>
    <row r="40" spans="1:15" ht="24.95" customHeight="1">
      <c r="A40" s="475"/>
      <c r="B40" s="476"/>
      <c r="C40" s="476"/>
      <c r="D40" s="476"/>
      <c r="E40" s="476"/>
      <c r="F40" s="476"/>
      <c r="G40" s="478"/>
      <c r="H40" s="478"/>
      <c r="I40" s="475"/>
      <c r="J40" s="476"/>
      <c r="K40" s="476"/>
      <c r="L40" s="476"/>
      <c r="M40" s="476"/>
      <c r="N40" s="476"/>
      <c r="O40" s="12"/>
    </row>
    <row r="41" spans="1:15" ht="17.100000000000001" customHeight="1">
      <c r="A41" s="256"/>
      <c r="B41" s="256"/>
      <c r="C41" s="256"/>
      <c r="D41" s="256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12"/>
    </row>
    <row r="42" spans="1:15" ht="17.100000000000001" customHeight="1">
      <c r="A42" s="221" t="s">
        <v>283</v>
      </c>
      <c r="B42" s="221"/>
      <c r="C42" s="255" t="s">
        <v>284</v>
      </c>
      <c r="D42" s="255" t="s">
        <v>285</v>
      </c>
      <c r="E42" s="256"/>
      <c r="F42" s="256"/>
      <c r="G42" s="256"/>
      <c r="H42" s="21"/>
      <c r="I42" s="256"/>
      <c r="J42" s="256"/>
      <c r="K42" s="256"/>
      <c r="L42" s="256"/>
      <c r="M42" s="256"/>
      <c r="N42" s="256"/>
      <c r="O42" s="12"/>
    </row>
    <row r="43" spans="1:15" ht="17.100000000000001" customHeight="1">
      <c r="A43" s="221" t="s">
        <v>286</v>
      </c>
      <c r="B43" s="256"/>
      <c r="C43" s="255" t="s">
        <v>284</v>
      </c>
      <c r="D43" s="255" t="s">
        <v>249</v>
      </c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12"/>
    </row>
    <row r="44" spans="1:15">
      <c r="A44" s="221" t="s">
        <v>288</v>
      </c>
      <c r="B44" s="256"/>
      <c r="C44" s="255" t="s">
        <v>284</v>
      </c>
      <c r="D44" s="255" t="s">
        <v>92</v>
      </c>
      <c r="E44" s="256"/>
      <c r="F44" s="256"/>
      <c r="G44" s="256"/>
      <c r="H44" s="256"/>
      <c r="I44" s="256"/>
      <c r="J44" s="256"/>
      <c r="K44" s="221"/>
      <c r="L44" s="256"/>
      <c r="M44" s="256"/>
      <c r="N44" s="256"/>
      <c r="O44" s="12"/>
    </row>
  </sheetData>
  <sheetProtection sheet="1" objects="1" scenarios="1"/>
  <phoneticPr fontId="48" type="noConversion"/>
  <pageMargins left="0.75" right="0.75" top="1" bottom="1" header="0.5" footer="0.5"/>
  <pageSetup scale="81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7"/>
  <sheetViews>
    <sheetView workbookViewId="0">
      <selection activeCell="E11" sqref="E11"/>
    </sheetView>
  </sheetViews>
  <sheetFormatPr defaultRowHeight="15"/>
  <cols>
    <col min="2" max="2" width="20.77734375" customWidth="1"/>
    <col min="3" max="4" width="8.77734375" customWidth="1"/>
    <col min="5" max="5" width="15.77734375" customWidth="1"/>
    <col min="7" max="7" width="4.77734375" customWidth="1"/>
  </cols>
  <sheetData>
    <row r="1" spans="1:7">
      <c r="A1" s="217" t="s">
        <v>289</v>
      </c>
      <c r="B1" s="217"/>
      <c r="C1" s="217"/>
      <c r="D1" s="217"/>
      <c r="E1" s="217"/>
      <c r="F1" s="217"/>
      <c r="G1" s="238" t="s">
        <v>290</v>
      </c>
    </row>
    <row r="2" spans="1:7">
      <c r="A2" s="219" t="s">
        <v>291</v>
      </c>
      <c r="B2" s="220"/>
      <c r="C2" s="220"/>
      <c r="D2" s="220"/>
      <c r="E2" s="219"/>
      <c r="F2" s="220"/>
      <c r="G2" s="264"/>
    </row>
    <row r="3" spans="1:7">
      <c r="A3" s="221"/>
      <c r="B3" s="221"/>
      <c r="C3" s="221"/>
      <c r="D3" s="221"/>
      <c r="E3" s="222" t="s">
        <v>237</v>
      </c>
      <c r="F3" s="479"/>
      <c r="G3" s="477"/>
    </row>
    <row r="4" spans="1:7">
      <c r="A4" s="222" t="s">
        <v>18</v>
      </c>
      <c r="B4" s="223">
        <f>'Proj Info'!B4</f>
        <v>0</v>
      </c>
      <c r="C4" s="224"/>
      <c r="D4" s="221"/>
      <c r="E4" s="222" t="s">
        <v>216</v>
      </c>
      <c r="F4" s="265">
        <f>'Proj Info'!B11</f>
        <v>0</v>
      </c>
      <c r="G4" s="266"/>
    </row>
    <row r="5" spans="1:7">
      <c r="A5" s="221"/>
      <c r="B5" s="224"/>
      <c r="C5" s="221"/>
      <c r="D5" s="221"/>
      <c r="E5" s="221"/>
      <c r="F5" s="221"/>
      <c r="G5" s="12"/>
    </row>
    <row r="6" spans="1:7">
      <c r="A6" s="267" t="s">
        <v>281</v>
      </c>
      <c r="B6" s="268"/>
      <c r="C6" s="269" t="s">
        <v>292</v>
      </c>
      <c r="D6" s="270"/>
      <c r="E6" s="271"/>
      <c r="F6" s="271"/>
      <c r="G6" s="272"/>
    </row>
    <row r="7" spans="1:7" ht="15.75" thickBot="1">
      <c r="A7" s="273" t="s">
        <v>293</v>
      </c>
      <c r="B7" s="274" t="s">
        <v>294</v>
      </c>
      <c r="C7" s="274" t="s">
        <v>295</v>
      </c>
      <c r="D7" s="274" t="s">
        <v>296</v>
      </c>
      <c r="E7" s="249" t="s">
        <v>28</v>
      </c>
      <c r="F7" s="249"/>
      <c r="G7" s="275" t="s">
        <v>297</v>
      </c>
    </row>
    <row r="8" spans="1:7" ht="15.75" thickTop="1">
      <c r="A8" s="480"/>
      <c r="B8" s="253" t="s">
        <v>298</v>
      </c>
      <c r="C8" s="481"/>
      <c r="D8" s="481"/>
      <c r="E8" s="482"/>
      <c r="F8" s="483"/>
      <c r="G8" s="484"/>
    </row>
    <row r="9" spans="1:7">
      <c r="A9" s="475"/>
      <c r="B9" s="277" t="s">
        <v>299</v>
      </c>
      <c r="C9" s="476"/>
      <c r="D9" s="476"/>
      <c r="E9" s="485"/>
      <c r="F9" s="486"/>
      <c r="G9" s="484"/>
    </row>
    <row r="10" spans="1:7">
      <c r="A10" s="475"/>
      <c r="B10" s="277" t="s">
        <v>300</v>
      </c>
      <c r="C10" s="476"/>
      <c r="D10" s="476"/>
      <c r="E10" s="485"/>
      <c r="F10" s="486"/>
      <c r="G10" s="484"/>
    </row>
    <row r="11" spans="1:7">
      <c r="A11" s="475"/>
      <c r="B11" s="277" t="s">
        <v>301</v>
      </c>
      <c r="C11" s="476"/>
      <c r="D11" s="476"/>
      <c r="E11" s="485"/>
      <c r="F11" s="486"/>
      <c r="G11" s="484"/>
    </row>
    <row r="12" spans="1:7">
      <c r="A12" s="475"/>
      <c r="B12" s="277" t="s">
        <v>302</v>
      </c>
      <c r="C12" s="476"/>
      <c r="D12" s="476"/>
      <c r="E12" s="485"/>
      <c r="F12" s="486"/>
      <c r="G12" s="484"/>
    </row>
    <row r="13" spans="1:7">
      <c r="A13" s="475"/>
      <c r="B13" s="277" t="s">
        <v>303</v>
      </c>
      <c r="C13" s="476"/>
      <c r="D13" s="476"/>
      <c r="E13" s="485"/>
      <c r="F13" s="486"/>
      <c r="G13" s="484"/>
    </row>
    <row r="14" spans="1:7">
      <c r="A14" s="475"/>
      <c r="B14" s="277" t="s">
        <v>304</v>
      </c>
      <c r="C14" s="476"/>
      <c r="D14" s="476"/>
      <c r="E14" s="485"/>
      <c r="F14" s="486"/>
      <c r="G14" s="484"/>
    </row>
    <row r="15" spans="1:7">
      <c r="A15" s="475"/>
      <c r="B15" s="278" t="s">
        <v>305</v>
      </c>
      <c r="C15" s="476"/>
      <c r="D15" s="476"/>
      <c r="E15" s="485"/>
      <c r="F15" s="486"/>
      <c r="G15" s="484"/>
    </row>
    <row r="16" spans="1:7">
      <c r="A16" s="475"/>
      <c r="B16" s="277" t="s">
        <v>306</v>
      </c>
      <c r="C16" s="476"/>
      <c r="D16" s="476"/>
      <c r="E16" s="485"/>
      <c r="F16" s="486"/>
      <c r="G16" s="484"/>
    </row>
    <row r="17" spans="1:7">
      <c r="A17" s="475"/>
      <c r="B17" s="277" t="s">
        <v>307</v>
      </c>
      <c r="C17" s="476"/>
      <c r="D17" s="476"/>
      <c r="E17" s="485"/>
      <c r="F17" s="486"/>
      <c r="G17" s="484"/>
    </row>
    <row r="18" spans="1:7">
      <c r="A18" s="475"/>
      <c r="B18" s="277" t="s">
        <v>308</v>
      </c>
      <c r="C18" s="476"/>
      <c r="D18" s="476"/>
      <c r="E18" s="485"/>
      <c r="F18" s="486"/>
      <c r="G18" s="484"/>
    </row>
    <row r="19" spans="1:7">
      <c r="A19" s="475"/>
      <c r="B19" s="277" t="s">
        <v>309</v>
      </c>
      <c r="C19" s="476"/>
      <c r="D19" s="476"/>
      <c r="E19" s="485"/>
      <c r="F19" s="486"/>
      <c r="G19" s="484"/>
    </row>
    <row r="20" spans="1:7">
      <c r="A20" s="475"/>
      <c r="B20" s="277" t="s">
        <v>310</v>
      </c>
      <c r="C20" s="476"/>
      <c r="D20" s="476"/>
      <c r="E20" s="485"/>
      <c r="F20" s="486"/>
      <c r="G20" s="484"/>
    </row>
    <row r="21" spans="1:7">
      <c r="A21" s="475"/>
      <c r="B21" s="277" t="s">
        <v>311</v>
      </c>
      <c r="C21" s="476"/>
      <c r="D21" s="476"/>
      <c r="E21" s="485"/>
      <c r="F21" s="486"/>
      <c r="G21" s="484"/>
    </row>
    <row r="22" spans="1:7">
      <c r="A22" s="475"/>
      <c r="B22" s="277" t="s">
        <v>312</v>
      </c>
      <c r="C22" s="476"/>
      <c r="D22" s="476"/>
      <c r="E22" s="485"/>
      <c r="F22" s="486"/>
      <c r="G22" s="484"/>
    </row>
    <row r="23" spans="1:7">
      <c r="A23" s="475"/>
      <c r="B23" s="277" t="s">
        <v>313</v>
      </c>
      <c r="C23" s="476"/>
      <c r="D23" s="476"/>
      <c r="E23" s="485"/>
      <c r="F23" s="486"/>
      <c r="G23" s="484"/>
    </row>
    <row r="24" spans="1:7">
      <c r="A24" s="475"/>
      <c r="B24" s="277" t="s">
        <v>314</v>
      </c>
      <c r="C24" s="476"/>
      <c r="D24" s="476"/>
      <c r="E24" s="485"/>
      <c r="F24" s="486"/>
      <c r="G24" s="484"/>
    </row>
    <row r="25" spans="1:7">
      <c r="A25" s="475"/>
      <c r="B25" s="277" t="s">
        <v>315</v>
      </c>
      <c r="C25" s="476"/>
      <c r="D25" s="476"/>
      <c r="E25" s="485"/>
      <c r="F25" s="486"/>
      <c r="G25" s="484"/>
    </row>
    <row r="26" spans="1:7">
      <c r="A26" s="475"/>
      <c r="B26" s="277" t="s">
        <v>316</v>
      </c>
      <c r="C26" s="476"/>
      <c r="D26" s="476"/>
      <c r="E26" s="485"/>
      <c r="F26" s="486"/>
      <c r="G26" s="484"/>
    </row>
    <row r="27" spans="1:7">
      <c r="A27" s="475"/>
      <c r="B27" s="277" t="s">
        <v>317</v>
      </c>
      <c r="C27" s="476"/>
      <c r="D27" s="476"/>
      <c r="E27" s="485"/>
      <c r="F27" s="486"/>
      <c r="G27" s="484"/>
    </row>
    <row r="28" spans="1:7">
      <c r="A28" s="475"/>
      <c r="B28" s="277" t="s">
        <v>318</v>
      </c>
      <c r="C28" s="476"/>
      <c r="D28" s="476"/>
      <c r="E28" s="485"/>
      <c r="F28" s="486"/>
      <c r="G28" s="484"/>
    </row>
    <row r="29" spans="1:7">
      <c r="A29" s="475"/>
      <c r="B29" s="277" t="s">
        <v>319</v>
      </c>
      <c r="C29" s="476"/>
      <c r="D29" s="476"/>
      <c r="E29" s="485"/>
      <c r="F29" s="486"/>
      <c r="G29" s="484"/>
    </row>
    <row r="30" spans="1:7">
      <c r="A30" s="475"/>
      <c r="B30" s="277" t="s">
        <v>320</v>
      </c>
      <c r="C30" s="476"/>
      <c r="D30" s="476"/>
      <c r="E30" s="485"/>
      <c r="F30" s="486"/>
      <c r="G30" s="484"/>
    </row>
    <row r="31" spans="1:7">
      <c r="A31" s="475"/>
      <c r="B31" s="277" t="s">
        <v>321</v>
      </c>
      <c r="C31" s="476"/>
      <c r="D31" s="476"/>
      <c r="E31" s="485"/>
      <c r="F31" s="486"/>
      <c r="G31" s="484"/>
    </row>
    <row r="32" spans="1:7">
      <c r="A32" s="475"/>
      <c r="B32" s="277" t="s">
        <v>322</v>
      </c>
      <c r="C32" s="476"/>
      <c r="D32" s="476"/>
      <c r="E32" s="485"/>
      <c r="F32" s="486"/>
      <c r="G32" s="484"/>
    </row>
    <row r="33" spans="1:7">
      <c r="A33" s="475"/>
      <c r="B33" s="277" t="s">
        <v>323</v>
      </c>
      <c r="C33" s="476"/>
      <c r="D33" s="476"/>
      <c r="E33" s="485"/>
      <c r="F33" s="486"/>
      <c r="G33" s="484"/>
    </row>
    <row r="34" spans="1:7">
      <c r="A34" s="475"/>
      <c r="B34" s="277" t="s">
        <v>324</v>
      </c>
      <c r="C34" s="476"/>
      <c r="D34" s="476"/>
      <c r="E34" s="485"/>
      <c r="F34" s="486"/>
      <c r="G34" s="484"/>
    </row>
    <row r="35" spans="1:7">
      <c r="A35" s="475"/>
      <c r="B35" s="277" t="s">
        <v>325</v>
      </c>
      <c r="C35" s="476"/>
      <c r="D35" s="476"/>
      <c r="E35" s="485"/>
      <c r="F35" s="486"/>
      <c r="G35" s="484"/>
    </row>
    <row r="36" spans="1:7">
      <c r="A36" s="2"/>
      <c r="B36" s="2"/>
      <c r="C36" s="2"/>
      <c r="D36" s="2"/>
      <c r="E36" s="2"/>
      <c r="F36" s="2"/>
      <c r="G36" s="279"/>
    </row>
    <row r="37" spans="1:7">
      <c r="A37" s="217" t="s">
        <v>326</v>
      </c>
      <c r="B37" s="280"/>
      <c r="C37" s="280"/>
      <c r="D37" s="280"/>
      <c r="E37" s="280"/>
      <c r="F37" s="280"/>
      <c r="G37" s="12"/>
    </row>
  </sheetData>
  <sheetProtection sheet="1" objects="1" scenarios="1"/>
  <phoneticPr fontId="4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H35"/>
  <sheetViews>
    <sheetView workbookViewId="0">
      <selection activeCell="B6" sqref="B6"/>
    </sheetView>
  </sheetViews>
  <sheetFormatPr defaultRowHeight="15"/>
  <cols>
    <col min="1" max="1" width="9.6640625" customWidth="1"/>
    <col min="2" max="2" width="13.77734375" customWidth="1"/>
    <col min="3" max="3" width="10.77734375" customWidth="1"/>
    <col min="4" max="4" width="7.77734375" customWidth="1"/>
    <col min="5" max="6" width="8.77734375" customWidth="1"/>
    <col min="7" max="7" width="9.88671875" customWidth="1"/>
    <col min="8" max="24" width="8.77734375" customWidth="1"/>
  </cols>
  <sheetData>
    <row r="1" spans="1:7" ht="16.5" thickBot="1">
      <c r="A1" s="129" t="s">
        <v>523</v>
      </c>
      <c r="D1" s="518" t="s">
        <v>514</v>
      </c>
      <c r="F1" s="164"/>
      <c r="G1" s="165"/>
    </row>
    <row r="2" spans="1:7" ht="15.75" thickTop="1">
      <c r="B2" s="565" t="s">
        <v>126</v>
      </c>
      <c r="C2" s="566"/>
      <c r="D2" s="567"/>
      <c r="F2" s="561" t="s">
        <v>524</v>
      </c>
      <c r="G2" s="562"/>
    </row>
    <row r="3" spans="1:7" ht="31.5" customHeight="1" thickBot="1">
      <c r="B3" s="504" t="s">
        <v>478</v>
      </c>
      <c r="C3" s="504" t="s">
        <v>479</v>
      </c>
      <c r="D3" s="208" t="s">
        <v>114</v>
      </c>
      <c r="F3" s="563"/>
      <c r="G3" s="564"/>
    </row>
    <row r="4" spans="1:7" ht="15.75" thickTop="1">
      <c r="A4" s="281" t="s">
        <v>511</v>
      </c>
      <c r="B4" s="505" t="str">
        <f>IF('Proj Info'!B28="","",'Proj Info'!B28)</f>
        <v/>
      </c>
      <c r="C4" s="505" t="str">
        <f>IF('Proj Info'!B29="","",'Proj Info'!B29)</f>
        <v/>
      </c>
      <c r="D4" s="516"/>
      <c r="E4" s="497">
        <f>IF(ISERROR(D4),"",D4)</f>
        <v>0</v>
      </c>
      <c r="G4" s="500" t="str">
        <f>IF(OR('Proj Info'!B8="QMC",'Proj Info'!B8="HPC-D"),"ENTER","")</f>
        <v/>
      </c>
    </row>
    <row r="5" spans="1:7">
      <c r="A5" s="281" t="s">
        <v>14</v>
      </c>
      <c r="B5" s="505" t="str">
        <f>IF('Proj Info'!B31="","",'Proj Info'!B31)</f>
        <v/>
      </c>
      <c r="C5" s="505" t="str">
        <f>IF('Proj Info'!B32="","",'Proj Info'!B32)</f>
        <v/>
      </c>
      <c r="D5" s="516"/>
      <c r="E5" s="497">
        <f>IF(ISERROR(D5),"",D5)</f>
        <v>0</v>
      </c>
      <c r="F5" s="557"/>
      <c r="G5" s="558"/>
    </row>
    <row r="6" spans="1:7" ht="15.75">
      <c r="A6" s="281" t="s">
        <v>15</v>
      </c>
      <c r="B6" s="505" t="str">
        <f>IF('Proj Info'!B34="","",'Proj Info'!B34)</f>
        <v/>
      </c>
      <c r="C6" s="505" t="str">
        <f>IF('Proj Info'!B35="","",'Proj Info'!B35)</f>
        <v/>
      </c>
      <c r="D6" s="516"/>
      <c r="E6" s="497">
        <f>IF(ISERROR(D6),"",D6)</f>
        <v>0</v>
      </c>
      <c r="F6" s="559" t="s">
        <v>115</v>
      </c>
      <c r="G6" s="560"/>
    </row>
    <row r="7" spans="1:7">
      <c r="D7" s="517">
        <f>SUM(D4:D6)</f>
        <v>0</v>
      </c>
      <c r="E7" s="498"/>
    </row>
    <row r="8" spans="1:7">
      <c r="B8" s="507" t="s">
        <v>480</v>
      </c>
      <c r="E8" s="498"/>
      <c r="F8" s="130" t="s">
        <v>58</v>
      </c>
      <c r="G8" s="131">
        <v>100</v>
      </c>
    </row>
    <row r="9" spans="1:7">
      <c r="B9" s="568" t="s">
        <v>89</v>
      </c>
      <c r="C9" s="566"/>
      <c r="D9" s="567"/>
      <c r="E9" s="498"/>
      <c r="F9" s="130" t="s">
        <v>59</v>
      </c>
      <c r="G9" s="131"/>
    </row>
    <row r="10" spans="1:7" ht="15.75">
      <c r="B10" s="504" t="s">
        <v>478</v>
      </c>
      <c r="C10" s="504" t="s">
        <v>479</v>
      </c>
      <c r="D10" s="208" t="s">
        <v>114</v>
      </c>
      <c r="E10" s="498"/>
      <c r="F10" s="130" t="s">
        <v>60</v>
      </c>
      <c r="G10" s="131"/>
    </row>
    <row r="11" spans="1:7">
      <c r="A11" s="281" t="s">
        <v>511</v>
      </c>
      <c r="B11" s="506"/>
      <c r="C11" s="506"/>
      <c r="D11" s="516"/>
      <c r="E11" s="497">
        <f>IF(ISERROR(D11),"",D11)</f>
        <v>0</v>
      </c>
      <c r="F11" s="130" t="s">
        <v>61</v>
      </c>
      <c r="G11" s="131"/>
    </row>
    <row r="12" spans="1:7">
      <c r="A12" s="281" t="s">
        <v>14</v>
      </c>
      <c r="B12" s="506"/>
      <c r="C12" s="506"/>
      <c r="D12" s="516"/>
      <c r="E12" s="497">
        <f>IF(ISERROR(D12),"",D12)</f>
        <v>0</v>
      </c>
      <c r="F12" s="130" t="s">
        <v>62</v>
      </c>
      <c r="G12" s="131"/>
    </row>
    <row r="13" spans="1:7">
      <c r="A13" s="281" t="s">
        <v>15</v>
      </c>
      <c r="B13" s="506"/>
      <c r="C13" s="506"/>
      <c r="D13" s="516"/>
      <c r="E13" s="497">
        <f>IF(ISERROR(D13),"",D13)</f>
        <v>0</v>
      </c>
      <c r="F13" s="130" t="s">
        <v>63</v>
      </c>
      <c r="G13" s="132"/>
    </row>
    <row r="14" spans="1:7">
      <c r="D14" s="517">
        <f>SUM(D11:D13)</f>
        <v>0</v>
      </c>
      <c r="E14" s="498"/>
      <c r="F14" s="130" t="s">
        <v>64</v>
      </c>
      <c r="G14" s="132"/>
    </row>
    <row r="15" spans="1:7">
      <c r="E15" s="498"/>
      <c r="F15" s="130" t="s">
        <v>65</v>
      </c>
      <c r="G15" s="132"/>
    </row>
    <row r="16" spans="1:7">
      <c r="B16" s="565" t="s">
        <v>90</v>
      </c>
      <c r="C16" s="566"/>
      <c r="D16" s="567"/>
      <c r="E16" s="498"/>
      <c r="F16" s="130" t="s">
        <v>66</v>
      </c>
      <c r="G16" s="132"/>
    </row>
    <row r="17" spans="1:8" ht="15.75">
      <c r="B17" s="504" t="s">
        <v>478</v>
      </c>
      <c r="C17" s="504" t="s">
        <v>479</v>
      </c>
      <c r="D17" s="208" t="s">
        <v>114</v>
      </c>
      <c r="E17" s="498"/>
      <c r="F17" s="130" t="s">
        <v>67</v>
      </c>
      <c r="G17" s="132"/>
    </row>
    <row r="18" spans="1:8">
      <c r="A18" s="281" t="s">
        <v>511</v>
      </c>
      <c r="B18" s="506"/>
      <c r="C18" s="506"/>
      <c r="D18" s="516"/>
      <c r="E18" s="497">
        <f>IF(ISERROR(D18),"",D18)</f>
        <v>0</v>
      </c>
      <c r="F18" s="130" t="s">
        <v>68</v>
      </c>
      <c r="G18" s="132"/>
    </row>
    <row r="19" spans="1:8">
      <c r="A19" s="281" t="s">
        <v>14</v>
      </c>
      <c r="B19" s="506"/>
      <c r="C19" s="506"/>
      <c r="D19" s="516"/>
      <c r="E19" s="497">
        <f>IF(ISERROR(D19),"",D19)</f>
        <v>0</v>
      </c>
      <c r="F19" s="130" t="s">
        <v>17</v>
      </c>
      <c r="G19" s="132">
        <v>2</v>
      </c>
      <c r="H19" s="499" t="s">
        <v>477</v>
      </c>
    </row>
    <row r="20" spans="1:8">
      <c r="A20" s="281" t="s">
        <v>15</v>
      </c>
      <c r="B20" s="506"/>
      <c r="C20" s="506"/>
      <c r="D20" s="516"/>
      <c r="E20" s="497">
        <f>IF(ISERROR(D20),"",D20)</f>
        <v>0</v>
      </c>
    </row>
    <row r="21" spans="1:8">
      <c r="D21" s="517">
        <f>SUM(D18:D20)</f>
        <v>0</v>
      </c>
      <c r="E21" s="498"/>
    </row>
    <row r="22" spans="1:8">
      <c r="E22" s="498"/>
    </row>
    <row r="23" spans="1:8">
      <c r="B23" s="565" t="s">
        <v>127</v>
      </c>
      <c r="C23" s="566"/>
      <c r="D23" s="567"/>
      <c r="E23" s="498"/>
    </row>
    <row r="24" spans="1:8" ht="15.75">
      <c r="B24" s="504" t="s">
        <v>478</v>
      </c>
      <c r="C24" s="504" t="s">
        <v>479</v>
      </c>
      <c r="D24" s="208" t="s">
        <v>114</v>
      </c>
      <c r="E24" s="498"/>
    </row>
    <row r="25" spans="1:8">
      <c r="A25" s="281" t="s">
        <v>511</v>
      </c>
      <c r="B25" s="506"/>
      <c r="C25" s="506"/>
      <c r="D25" s="516"/>
      <c r="E25" s="497">
        <f>IF(ISERROR(D25),"",D25)</f>
        <v>0</v>
      </c>
    </row>
    <row r="26" spans="1:8">
      <c r="A26" s="281" t="s">
        <v>14</v>
      </c>
      <c r="B26" s="506"/>
      <c r="C26" s="506"/>
      <c r="D26" s="516"/>
      <c r="E26" s="497">
        <f>IF(ISERROR(D26),"",D26)</f>
        <v>0</v>
      </c>
    </row>
    <row r="27" spans="1:8">
      <c r="A27" s="281" t="s">
        <v>15</v>
      </c>
      <c r="B27" s="506"/>
      <c r="C27" s="506"/>
      <c r="D27" s="516"/>
      <c r="E27" s="497">
        <f>IF(ISERROR(D27),"",D27)</f>
        <v>0</v>
      </c>
    </row>
    <row r="28" spans="1:8">
      <c r="D28" s="517">
        <f>SUM(D25:D27)</f>
        <v>0</v>
      </c>
      <c r="E28" s="498"/>
    </row>
    <row r="29" spans="1:8">
      <c r="E29" s="498"/>
    </row>
    <row r="30" spans="1:8">
      <c r="B30" s="565" t="s">
        <v>128</v>
      </c>
      <c r="C30" s="566"/>
      <c r="D30" s="567"/>
      <c r="E30" s="498"/>
    </row>
    <row r="31" spans="1:8" ht="15.75">
      <c r="B31" s="504" t="s">
        <v>478</v>
      </c>
      <c r="C31" s="504" t="s">
        <v>479</v>
      </c>
      <c r="D31" s="208" t="s">
        <v>114</v>
      </c>
      <c r="E31" s="498"/>
    </row>
    <row r="32" spans="1:8">
      <c r="A32" s="281" t="s">
        <v>511</v>
      </c>
      <c r="B32" s="506"/>
      <c r="C32" s="506"/>
      <c r="D32" s="516"/>
      <c r="E32" s="497">
        <f>IF(ISERROR(D32),"",D32)</f>
        <v>0</v>
      </c>
    </row>
    <row r="33" spans="1:5">
      <c r="A33" s="281" t="s">
        <v>14</v>
      </c>
      <c r="B33" s="506"/>
      <c r="C33" s="506"/>
      <c r="D33" s="516"/>
      <c r="E33" s="497">
        <f>IF(ISERROR(D33),"",D33)</f>
        <v>0</v>
      </c>
    </row>
    <row r="34" spans="1:5">
      <c r="A34" s="281" t="s">
        <v>15</v>
      </c>
      <c r="B34" s="506"/>
      <c r="C34" s="506"/>
      <c r="D34" s="516"/>
      <c r="E34" s="497">
        <f>IF(ISERROR(D34),"",D34)</f>
        <v>0</v>
      </c>
    </row>
    <row r="35" spans="1:5">
      <c r="D35" s="517">
        <f>SUM(D32:D34)</f>
        <v>0</v>
      </c>
    </row>
  </sheetData>
  <sheetProtection password="D8FF" sheet="1"/>
  <mergeCells count="8">
    <mergeCell ref="F5:G5"/>
    <mergeCell ref="F6:G6"/>
    <mergeCell ref="F2:G3"/>
    <mergeCell ref="B2:D2"/>
    <mergeCell ref="B30:D30"/>
    <mergeCell ref="B23:D23"/>
    <mergeCell ref="B16:D16"/>
    <mergeCell ref="B9:D9"/>
  </mergeCells>
  <phoneticPr fontId="48" type="noConversion"/>
  <pageMargins left="0.75" right="0.75" top="1" bottom="1" header="0.5" footer="0.5"/>
  <pageSetup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AE52"/>
  <sheetViews>
    <sheetView defaultGridColor="0" view="pageBreakPreview" colorId="22" zoomScale="75" zoomScaleNormal="75" workbookViewId="0">
      <pane xSplit="1" topLeftCell="B1" activePane="topRight" state="frozen"/>
      <selection pane="topRight" activeCell="B5" sqref="B5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364</v>
      </c>
      <c r="B1" s="515"/>
    </row>
    <row r="2" spans="1:29" ht="21" customHeight="1">
      <c r="A2" s="44" t="s">
        <v>145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  <c r="AA2" s="45"/>
      <c r="AB2" s="45"/>
      <c r="AC2" s="45"/>
    </row>
    <row r="3" spans="1:29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  <c r="AA3" s="45"/>
      <c r="AB3" s="45"/>
      <c r="AC3" s="45"/>
    </row>
    <row r="4" spans="1:29" ht="21" customHeight="1" thickBot="1">
      <c r="A4" s="209" t="s">
        <v>144</v>
      </c>
      <c r="B4" s="193"/>
      <c r="C4" s="569" t="s">
        <v>138</v>
      </c>
      <c r="D4" s="573"/>
      <c r="E4" s="185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72</v>
      </c>
      <c r="U4" s="45"/>
      <c r="V4" s="45"/>
      <c r="W4" s="45"/>
      <c r="Y4" s="48" t="s">
        <v>73</v>
      </c>
      <c r="Z4" s="45"/>
      <c r="AA4" s="45"/>
      <c r="AB4" s="45"/>
      <c r="AC4" s="45"/>
    </row>
    <row r="5" spans="1:29" ht="21" customHeight="1" thickTop="1">
      <c r="A5" s="33" t="s">
        <v>493</v>
      </c>
      <c r="B5" s="194"/>
      <c r="C5" s="29"/>
      <c r="D5" s="571" t="str">
        <f>IF(E4&lt;5,"",IF(E4&lt;99.5,"Check Weights.",IF(E4&gt;100.5,"Check Weights","")))</f>
        <v/>
      </c>
      <c r="E5" s="572"/>
      <c r="F5" s="35"/>
      <c r="G5" s="189">
        <f t="shared" ref="G5:G12" si="0">IF($M$14=100,$M5,IF($N$14=100,$N5,IF($O$14=100,$O5,IF($P$14=100,$P5,IF($Q$14=100,$Q5,IF($R$14=100,$R5,$R5))))))</f>
        <v>0.1</v>
      </c>
      <c r="H5" s="189">
        <f>IF(D12=0,0,100)</f>
        <v>0</v>
      </c>
      <c r="I5" s="190">
        <f t="shared" ref="I5:I11" si="1">IF(H5&gt;9.9,ROUND(H5,0),ROUND(H5,1))</f>
        <v>0</v>
      </c>
      <c r="J5" s="199" t="str">
        <f>IF('Proj Info'!B39=" "," ",'Proj Info'!B39)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74</v>
      </c>
      <c r="U5" s="50"/>
      <c r="V5" s="50"/>
      <c r="W5" s="51"/>
      <c r="X5" s="52"/>
      <c r="Y5" s="52">
        <f>'QMC Mix'!D4</f>
        <v>0</v>
      </c>
      <c r="Z5" s="53" t="e">
        <f>Y5/(SUM($Y$5:$Y$7))</f>
        <v>#DIV/0!</v>
      </c>
      <c r="AA5" s="45"/>
      <c r="AB5" s="45"/>
      <c r="AC5" s="45"/>
    </row>
    <row r="6" spans="1:29" ht="21" customHeight="1">
      <c r="A6" s="33" t="s">
        <v>494</v>
      </c>
      <c r="B6" s="194"/>
      <c r="C6" s="29"/>
      <c r="D6" s="31"/>
      <c r="E6" s="29"/>
      <c r="F6" s="29"/>
      <c r="G6" s="189">
        <f t="shared" si="0"/>
        <v>0.1</v>
      </c>
      <c r="H6" s="189">
        <f t="shared" ref="H6:H11" si="8">IF(H5=0,0,(H5-G6))</f>
        <v>0</v>
      </c>
      <c r="I6" s="190">
        <f t="shared" si="1"/>
        <v>0</v>
      </c>
      <c r="J6" s="199" t="str">
        <f>IF('Proj Info'!B40=" "," ",'Proj Info'!B40)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75</v>
      </c>
      <c r="U6" s="55"/>
      <c r="V6" s="55"/>
      <c r="W6" s="56"/>
      <c r="X6" s="57"/>
      <c r="Y6" s="58">
        <f>'QMC Mix'!D5</f>
        <v>0</v>
      </c>
      <c r="Z6" s="59" t="e">
        <f>Y6/(SUM($Y$5:$Y$7))</f>
        <v>#DIV/0!</v>
      </c>
      <c r="AA6" s="45"/>
      <c r="AB6" s="45"/>
      <c r="AC6" s="45"/>
    </row>
    <row r="7" spans="1:29" ht="21" customHeight="1" thickBot="1">
      <c r="A7" s="33" t="s">
        <v>495</v>
      </c>
      <c r="B7" s="194"/>
      <c r="C7" s="29"/>
      <c r="D7" s="29"/>
      <c r="E7" s="29"/>
      <c r="F7" s="29"/>
      <c r="G7" s="189">
        <f t="shared" si="0"/>
        <v>0.1</v>
      </c>
      <c r="H7" s="189">
        <f t="shared" si="8"/>
        <v>0</v>
      </c>
      <c r="I7" s="190">
        <f t="shared" si="1"/>
        <v>0</v>
      </c>
      <c r="J7" s="199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76</v>
      </c>
      <c r="U7" s="61"/>
      <c r="V7" s="61"/>
      <c r="W7" s="62"/>
      <c r="X7" s="63"/>
      <c r="Y7" s="64">
        <f>'QMC Mix'!D6</f>
        <v>0</v>
      </c>
      <c r="Z7" s="65" t="e">
        <f>Y7/(SUM($Y$5:Y$7))</f>
        <v>#DIV/0!</v>
      </c>
      <c r="AA7" s="45"/>
      <c r="AB7" s="45"/>
      <c r="AC7" s="45"/>
    </row>
    <row r="8" spans="1:29" ht="21" customHeight="1" thickTop="1">
      <c r="A8" s="33" t="s">
        <v>496</v>
      </c>
      <c r="B8" s="194"/>
      <c r="C8" s="29"/>
      <c r="D8" s="29"/>
      <c r="E8" s="29"/>
      <c r="F8" s="29"/>
      <c r="G8" s="189">
        <f t="shared" si="0"/>
        <v>0.1</v>
      </c>
      <c r="H8" s="189">
        <f t="shared" si="8"/>
        <v>0</v>
      </c>
      <c r="I8" s="190">
        <f t="shared" si="1"/>
        <v>0</v>
      </c>
      <c r="J8" s="199" t="str">
        <f>IF('Proj Info'!B42=" "," ",'Proj Info'!B42)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29" ht="21" customHeight="1">
      <c r="A9" s="33" t="s">
        <v>497</v>
      </c>
      <c r="B9" s="194"/>
      <c r="C9" s="29"/>
      <c r="D9" s="29"/>
      <c r="E9" s="29"/>
      <c r="F9" s="29"/>
      <c r="G9" s="189">
        <f t="shared" si="0"/>
        <v>0.1</v>
      </c>
      <c r="H9" s="189">
        <f t="shared" si="8"/>
        <v>0</v>
      </c>
      <c r="I9" s="190">
        <f t="shared" si="1"/>
        <v>0</v>
      </c>
      <c r="J9" s="199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  <c r="AA9" s="45"/>
      <c r="AB9" s="45"/>
      <c r="AC9" s="45"/>
    </row>
    <row r="10" spans="1:29" ht="21" customHeight="1">
      <c r="A10" s="33" t="s">
        <v>498</v>
      </c>
      <c r="B10" s="194"/>
      <c r="C10" s="29"/>
      <c r="D10" s="29"/>
      <c r="E10" s="29"/>
      <c r="F10" s="29"/>
      <c r="G10" s="189">
        <f t="shared" si="0"/>
        <v>0.1</v>
      </c>
      <c r="H10" s="189">
        <f t="shared" si="8"/>
        <v>0</v>
      </c>
      <c r="I10" s="190">
        <f t="shared" si="1"/>
        <v>0</v>
      </c>
      <c r="J10" s="199" t="str">
        <f>IF('Proj Info'!B44=" "," ",'Proj Info'!B44)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  <c r="AA10" s="45"/>
      <c r="AB10" s="45"/>
      <c r="AC10" s="45"/>
    </row>
    <row r="11" spans="1:29" ht="21" customHeight="1" thickBot="1">
      <c r="A11" s="33" t="s">
        <v>499</v>
      </c>
      <c r="B11" s="194"/>
      <c r="C11" s="29"/>
      <c r="D11" s="36" t="s">
        <v>27</v>
      </c>
      <c r="E11" s="29"/>
      <c r="F11" s="29"/>
      <c r="G11" s="189">
        <f t="shared" si="0"/>
        <v>0.1</v>
      </c>
      <c r="H11" s="189">
        <f t="shared" si="8"/>
        <v>0</v>
      </c>
      <c r="I11" s="190">
        <f t="shared" si="1"/>
        <v>0</v>
      </c>
      <c r="J11" s="199" t="str">
        <f>IF('Proj Info'!B45=" "," ",'Proj Info'!B45)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  <c r="AA11" s="45"/>
      <c r="AB11" s="45"/>
      <c r="AC11" s="45"/>
    </row>
    <row r="12" spans="1:29" ht="21" customHeight="1" thickBot="1">
      <c r="A12" s="33" t="s">
        <v>39</v>
      </c>
      <c r="B12" s="187"/>
      <c r="C12" s="29"/>
      <c r="D12" s="192">
        <f>IF(B12="",0,SUM(B5:B12))</f>
        <v>0</v>
      </c>
      <c r="E12" s="29"/>
      <c r="F12" s="29"/>
      <c r="G12" s="189">
        <f t="shared" si="0"/>
        <v>0.1</v>
      </c>
      <c r="H12" s="37"/>
      <c r="I12" s="37"/>
      <c r="J12" s="202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AA12" s="66"/>
      <c r="AB12" s="66"/>
      <c r="AC12" s="66"/>
    </row>
    <row r="13" spans="1:29" ht="21" customHeight="1" thickBot="1">
      <c r="A13" s="509" t="s">
        <v>500</v>
      </c>
      <c r="B13" s="195"/>
      <c r="C13" s="37" t="s">
        <v>37</v>
      </c>
      <c r="D13" s="29"/>
      <c r="E13" s="29"/>
      <c r="F13" s="29"/>
      <c r="G13" s="189">
        <f>SUM(G5:G12)</f>
        <v>0.79999999999999993</v>
      </c>
      <c r="H13" s="191"/>
      <c r="I13" s="191"/>
      <c r="J13" s="202"/>
      <c r="K13" s="14"/>
      <c r="L13" s="14"/>
      <c r="M13" s="16"/>
      <c r="N13" s="17"/>
      <c r="O13" s="19"/>
      <c r="P13" s="19"/>
      <c r="Q13" s="19"/>
      <c r="R13" s="19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ht="21" customHeight="1" thickTop="1">
      <c r="A14" s="510" t="s">
        <v>501</v>
      </c>
      <c r="B14" s="196"/>
      <c r="C14" s="37" t="s">
        <v>38</v>
      </c>
      <c r="D14" s="29"/>
      <c r="E14" s="29"/>
      <c r="F14" s="29"/>
      <c r="G14" s="191"/>
      <c r="H14" s="38" t="s">
        <v>17</v>
      </c>
      <c r="I14" s="188">
        <f>ROUND(IF(B17=0,0,SUM(B17/B13)*100),1)</f>
        <v>0</v>
      </c>
      <c r="J14" s="199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77</v>
      </c>
      <c r="Z14" s="68" t="s">
        <v>78</v>
      </c>
      <c r="AA14" s="68" t="s">
        <v>78</v>
      </c>
      <c r="AB14" s="68" t="s">
        <v>78</v>
      </c>
      <c r="AC14" s="69"/>
    </row>
    <row r="15" spans="1:29" ht="21" customHeight="1">
      <c r="A15" s="33" t="s">
        <v>39</v>
      </c>
      <c r="B15" s="187"/>
      <c r="C15" s="37" t="s">
        <v>40</v>
      </c>
      <c r="D15" s="29"/>
      <c r="E15" s="29"/>
      <c r="F15" s="29"/>
      <c r="G15" s="21"/>
      <c r="H15" s="29"/>
      <c r="I15" s="29"/>
      <c r="J15" s="2"/>
      <c r="K15" s="14"/>
      <c r="L15" s="14"/>
      <c r="M15" s="14"/>
      <c r="N15" s="14"/>
      <c r="O15" s="14"/>
      <c r="P15" s="14"/>
      <c r="Q15" s="14"/>
      <c r="R15" s="14"/>
      <c r="T15" s="70" t="s">
        <v>79</v>
      </c>
      <c r="U15" s="71" t="s">
        <v>16</v>
      </c>
      <c r="V15" s="71" t="s">
        <v>16</v>
      </c>
      <c r="W15" s="71" t="s">
        <v>16</v>
      </c>
      <c r="X15" s="71"/>
      <c r="Y15" s="71" t="s">
        <v>80</v>
      </c>
      <c r="Z15" s="71" t="s">
        <v>81</v>
      </c>
      <c r="AA15" s="71" t="s">
        <v>82</v>
      </c>
      <c r="AB15" s="71" t="s">
        <v>83</v>
      </c>
      <c r="AC15" s="72" t="s">
        <v>84</v>
      </c>
    </row>
    <row r="16" spans="1:29" ht="21" customHeight="1">
      <c r="A16" s="33" t="s">
        <v>41</v>
      </c>
      <c r="B16" s="188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85</v>
      </c>
      <c r="U16" s="71" t="s">
        <v>69</v>
      </c>
      <c r="V16" s="71" t="s">
        <v>69</v>
      </c>
      <c r="W16" s="71" t="s">
        <v>69</v>
      </c>
      <c r="X16" s="71"/>
      <c r="Y16" s="71" t="s">
        <v>86</v>
      </c>
      <c r="Z16" s="71" t="s">
        <v>86</v>
      </c>
      <c r="AA16" s="71" t="s">
        <v>86</v>
      </c>
      <c r="AB16" s="71" t="s">
        <v>86</v>
      </c>
      <c r="AC16" s="73" t="s">
        <v>81</v>
      </c>
    </row>
    <row r="17" spans="1:31" ht="21" customHeight="1" thickBot="1">
      <c r="A17" s="33" t="s">
        <v>43</v>
      </c>
      <c r="B17" s="197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87</v>
      </c>
      <c r="V17" s="75" t="s">
        <v>87</v>
      </c>
      <c r="W17" s="75" t="s">
        <v>87</v>
      </c>
      <c r="X17" s="75"/>
      <c r="Y17" s="75" t="s">
        <v>87</v>
      </c>
      <c r="Z17" s="75" t="s">
        <v>87</v>
      </c>
      <c r="AA17" s="75" t="s">
        <v>87</v>
      </c>
      <c r="AB17" s="75" t="s">
        <v>87</v>
      </c>
      <c r="AC17" s="76"/>
    </row>
    <row r="18" spans="1:31" ht="21" customHeight="1" thickTop="1">
      <c r="A18" s="33" t="s">
        <v>502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 t="s">
        <v>73</v>
      </c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88</v>
      </c>
      <c r="U19" s="83">
        <f>'Grad 1'!I5</f>
        <v>0</v>
      </c>
      <c r="V19" s="83">
        <f>'Grad 1'!I22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519" t="str">
        <f>X19</f>
        <v xml:space="preserve"> </v>
      </c>
      <c r="Z19" s="85">
        <f>'QMC Mix'!G8</f>
        <v>100</v>
      </c>
      <c r="AA19" s="101">
        <f t="shared" ref="AA19:AA24" si="10">IF(Z19-5&lt;0,0,IF((Z19-5)&gt;10,ROUND(Z19-5,1),ROUND(Z19-5,0)))</f>
        <v>95</v>
      </c>
      <c r="AB19" s="101">
        <f>IF(Z19+5&gt;100,100,IF(Z19+5&gt;10,ROUND(Z19+5,0),ROUND(Z19+5,1)))</f>
        <v>100</v>
      </c>
      <c r="AC19" s="81" t="str">
        <f t="shared" ref="AC19:AC30" si="11">IF(AND(AA19&lt;=X19,X19&lt;=AB19),"Yes","No")</f>
        <v>No</v>
      </c>
      <c r="AD19" s="100">
        <f>IF(AC19="YES",1,0)</f>
        <v>0</v>
      </c>
      <c r="AE19" t="str">
        <f>CONCATENATE(AA19,"-",AB19)</f>
        <v>95-100</v>
      </c>
    </row>
    <row r="20" spans="1:31" ht="21" customHeight="1">
      <c r="A20" s="25" t="s">
        <v>503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59</v>
      </c>
      <c r="U20" s="83">
        <f>'Grad 1'!I6</f>
        <v>0</v>
      </c>
      <c r="V20" s="83">
        <f>'Grad 1'!I23</f>
        <v>0</v>
      </c>
      <c r="W20" s="83">
        <v>100</v>
      </c>
      <c r="X20" s="84" t="str">
        <f t="shared" ref="X20:X30" si="12">IF($B$4=0," ",IF($B$20=" ",U20*$Z$5+W20*$Z$7,U20*$Z$5+V20*$Z$6+W20*Z$7))</f>
        <v xml:space="preserve"> </v>
      </c>
      <c r="Y20" s="519" t="str">
        <f t="shared" ref="Y20:Y30" si="13">X20</f>
        <v xml:space="preserve"> </v>
      </c>
      <c r="Z20" s="85">
        <f>'QMC Mix'!G9</f>
        <v>0</v>
      </c>
      <c r="AA20" s="101">
        <f t="shared" si="10"/>
        <v>0</v>
      </c>
      <c r="AB20" s="101">
        <f>IF(Z20+5&gt;100,100,IF(Z20+5&gt;10,ROUND(Z20+5,0),ROUND(Z20+5,1)))</f>
        <v>5</v>
      </c>
      <c r="AC20" s="81" t="str">
        <f t="shared" si="11"/>
        <v>No</v>
      </c>
      <c r="AD20" s="100">
        <f t="shared" ref="AD20:AD30" si="14">IF(AC20="YES",1,0)</f>
        <v>0</v>
      </c>
      <c r="AE20" t="str">
        <f t="shared" ref="AE20:AE30" si="15">CONCATENATE(AA20,"-",AB20)</f>
        <v>0-5</v>
      </c>
    </row>
    <row r="21" spans="1:31" ht="21" customHeight="1" thickBot="1">
      <c r="A21" s="511" t="s">
        <v>500</v>
      </c>
      <c r="B21" s="193"/>
      <c r="C21" s="569" t="s">
        <v>138</v>
      </c>
      <c r="D21" s="573"/>
      <c r="E21" s="185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60</v>
      </c>
      <c r="U21" s="83">
        <f>'Grad 1'!I7</f>
        <v>0</v>
      </c>
      <c r="V21" s="83">
        <f>'Grad 1'!I24</f>
        <v>0</v>
      </c>
      <c r="W21" s="83">
        <v>100</v>
      </c>
      <c r="X21" s="84" t="str">
        <f t="shared" si="12"/>
        <v xml:space="preserve"> </v>
      </c>
      <c r="Y21" s="519" t="str">
        <f t="shared" si="13"/>
        <v xml:space="preserve"> </v>
      </c>
      <c r="Z21" s="85">
        <f>'QMC Mix'!G10</f>
        <v>0</v>
      </c>
      <c r="AA21" s="101">
        <f t="shared" si="10"/>
        <v>0</v>
      </c>
      <c r="AB21" s="101">
        <f>IF(Z21+5&gt;100,100,IF(Z21+5&gt;10,ROUND(Z21+5,1),ROUND(Z21+5,0)))</f>
        <v>5</v>
      </c>
      <c r="AC21" s="81" t="str">
        <f t="shared" si="11"/>
        <v>No</v>
      </c>
      <c r="AD21" s="100">
        <f t="shared" si="14"/>
        <v>0</v>
      </c>
      <c r="AE21" t="str">
        <f t="shared" si="15"/>
        <v>0-5</v>
      </c>
    </row>
    <row r="22" spans="1:31" ht="21" customHeight="1">
      <c r="A22" s="33" t="s">
        <v>493</v>
      </c>
      <c r="B22" s="194"/>
      <c r="C22" s="29"/>
      <c r="D22" s="571" t="str">
        <f>IF(E21&lt;5,"",IF(E21&lt;99.5,"Check Weights.",IF(E21&gt;100.5,"Check Weights","")))</f>
        <v/>
      </c>
      <c r="E22" s="572"/>
      <c r="F22" s="35"/>
      <c r="G22" s="189">
        <f>IF($M$22=100,$M22,IF($N$22=100,$N22,IF($O$22=100,$O22,IF($P$22=100,$P22,IF($Q$22=100,$Q22,IF($R$22=100,$R22,$R22))))))</f>
        <v>0.1</v>
      </c>
      <c r="H22" s="189">
        <f>IF(D29=0,0,100)</f>
        <v>0</v>
      </c>
      <c r="I22" s="190">
        <f t="shared" ref="I22:I28" si="16">IF(H22&gt;9.9,ROUND(H22,0),ROUND(H22,1))</f>
        <v>0</v>
      </c>
      <c r="J22" s="199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61</v>
      </c>
      <c r="U22" s="83">
        <f>'Grad 1'!I8</f>
        <v>0</v>
      </c>
      <c r="V22" s="83">
        <f>'Grad 1'!I25</f>
        <v>0</v>
      </c>
      <c r="W22" s="83">
        <f>'Grad 1'!I41</f>
        <v>0</v>
      </c>
      <c r="X22" s="84" t="str">
        <f t="shared" si="12"/>
        <v xml:space="preserve"> </v>
      </c>
      <c r="Y22" s="519" t="str">
        <f t="shared" si="13"/>
        <v xml:space="preserve"> </v>
      </c>
      <c r="Z22" s="85">
        <f>'QMC Mix'!G11</f>
        <v>0</v>
      </c>
      <c r="AA22" s="101">
        <f t="shared" si="10"/>
        <v>0</v>
      </c>
      <c r="AB22" s="101">
        <f>IF(Z22+5&gt;100,100,IF(Z22+5&gt;10,ROUND(Z22+5,1),ROUND(Z22+5,0)))</f>
        <v>5</v>
      </c>
      <c r="AC22" s="81" t="str">
        <f t="shared" si="11"/>
        <v>No</v>
      </c>
      <c r="AD22" s="100">
        <f t="shared" si="14"/>
        <v>0</v>
      </c>
      <c r="AE22" t="str">
        <f t="shared" si="15"/>
        <v>0-5</v>
      </c>
    </row>
    <row r="23" spans="1:31" ht="21" customHeight="1">
      <c r="A23" s="33" t="s">
        <v>494</v>
      </c>
      <c r="B23" s="194"/>
      <c r="C23" s="29"/>
      <c r="D23" s="31"/>
      <c r="E23" s="29"/>
      <c r="F23" s="29"/>
      <c r="G23" s="189">
        <f>IF($M$23=100,$M23,IF($N$23=100,$N23,IF($O$23=100,$O23,IF($P$23=100,$P23,IF($Q$23=100,$Q23,IF($R$23=100,$R23,$R23))))))</f>
        <v>0.1</v>
      </c>
      <c r="H23" s="189">
        <f t="shared" ref="H23:H28" si="17">IF(H22=0,0,(H22-G23))</f>
        <v>0</v>
      </c>
      <c r="I23" s="190">
        <f t="shared" si="16"/>
        <v>0</v>
      </c>
      <c r="J23" s="199"/>
      <c r="K23" s="17">
        <f>LARGE(M22:M29,2)</f>
        <v>0</v>
      </c>
      <c r="L23" s="17">
        <f>IF(N31&gt;100,K23-0.1,IF(N31&lt;100,K23+0.1,K23))</f>
        <v>0.1</v>
      </c>
      <c r="M23" s="18">
        <f t="shared" ref="M23:M29" si="18">ROUND(IF(B23="",0,SUM(B23/$B$21)*100),1)</f>
        <v>0</v>
      </c>
      <c r="N23" s="15">
        <f t="shared" ref="N23:N29" si="19">IF(M23=$K$22,$L$22,M23)</f>
        <v>0.1</v>
      </c>
      <c r="O23" s="15">
        <f t="shared" ref="O23:O29" si="20">IF(N23=K$23,L$23,N23)</f>
        <v>0.1</v>
      </c>
      <c r="P23" s="15">
        <f t="shared" ref="P23:P29" si="21">IF(O23=K$24,L$24,O23)</f>
        <v>0.1</v>
      </c>
      <c r="Q23" s="15">
        <f t="shared" ref="Q23:Q29" si="22">IF(P23=K$25,L$25,P23)</f>
        <v>0.1</v>
      </c>
      <c r="R23" s="15">
        <f t="shared" ref="R23:R29" si="23">IF(Q23=K$26,L$26,Q23)</f>
        <v>0.1</v>
      </c>
      <c r="T23" s="82" t="s">
        <v>62</v>
      </c>
      <c r="U23" s="83">
        <f>'Grad 1'!I9</f>
        <v>0</v>
      </c>
      <c r="V23" s="83">
        <f>'Grad 1'!I26</f>
        <v>0</v>
      </c>
      <c r="W23" s="83">
        <f>'Grad 1'!I42</f>
        <v>0</v>
      </c>
      <c r="X23" s="84" t="str">
        <f t="shared" si="12"/>
        <v xml:space="preserve"> </v>
      </c>
      <c r="Y23" s="519" t="str">
        <f t="shared" si="13"/>
        <v xml:space="preserve"> </v>
      </c>
      <c r="Z23" s="85">
        <f>'QMC Mix'!G12</f>
        <v>0</v>
      </c>
      <c r="AA23" s="101">
        <f t="shared" si="10"/>
        <v>0</v>
      </c>
      <c r="AB23" s="101">
        <f>IF(Z23+5&gt;100,100,IF(Z23+5&gt;10,ROUND(Z23+5,1),ROUND(Z23+5,0)))</f>
        <v>5</v>
      </c>
      <c r="AC23" s="81" t="str">
        <f t="shared" si="11"/>
        <v>No</v>
      </c>
      <c r="AD23" s="100">
        <f t="shared" si="14"/>
        <v>0</v>
      </c>
      <c r="AE23" t="str">
        <f t="shared" si="15"/>
        <v>0-5</v>
      </c>
    </row>
    <row r="24" spans="1:31" ht="21" customHeight="1">
      <c r="A24" s="33" t="s">
        <v>495</v>
      </c>
      <c r="B24" s="194"/>
      <c r="C24" s="29"/>
      <c r="D24" s="29"/>
      <c r="E24" s="29"/>
      <c r="F24" s="29"/>
      <c r="G24" s="189">
        <f t="shared" ref="G24:G29" si="24">IF($M$14=100,$M24,IF($N$14=100,$N24,IF($O$14=100,$O24,IF($P$14=100,$P24,IF($Q$14=100,$Q24,IF($R$14=100,$R24,$R24))))))</f>
        <v>0.1</v>
      </c>
      <c r="H24" s="189">
        <f t="shared" si="17"/>
        <v>0</v>
      </c>
      <c r="I24" s="190">
        <f t="shared" si="16"/>
        <v>0</v>
      </c>
      <c r="J24" s="55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8"/>
        <v>0</v>
      </c>
      <c r="N24" s="15">
        <f t="shared" si="19"/>
        <v>0.1</v>
      </c>
      <c r="O24" s="15">
        <f t="shared" si="20"/>
        <v>0.1</v>
      </c>
      <c r="P24" s="15">
        <f t="shared" si="21"/>
        <v>0.1</v>
      </c>
      <c r="Q24" s="15">
        <f t="shared" si="22"/>
        <v>0.1</v>
      </c>
      <c r="R24" s="15">
        <f t="shared" si="23"/>
        <v>0.1</v>
      </c>
      <c r="T24" s="82" t="s">
        <v>63</v>
      </c>
      <c r="U24" s="83">
        <f>'Grad 1'!I10</f>
        <v>0</v>
      </c>
      <c r="V24" s="83">
        <f>'Grad 1'!I27</f>
        <v>0</v>
      </c>
      <c r="W24" s="83">
        <f>'Grad 1'!I43</f>
        <v>0</v>
      </c>
      <c r="X24" s="84" t="str">
        <f t="shared" si="12"/>
        <v xml:space="preserve"> </v>
      </c>
      <c r="Y24" s="519" t="str">
        <f t="shared" si="13"/>
        <v xml:space="preserve"> </v>
      </c>
      <c r="Z24" s="85">
        <f>'QMC Mix'!G13</f>
        <v>0</v>
      </c>
      <c r="AA24" s="101">
        <f t="shared" si="10"/>
        <v>0</v>
      </c>
      <c r="AB24" s="101">
        <f>IF(Z24+5&gt;100,100,IF(Z24+5&gt;10,ROUND(Z24+5,1),ROUND(Z24+5,0)))</f>
        <v>5</v>
      </c>
      <c r="AC24" s="81" t="str">
        <f t="shared" si="11"/>
        <v>No</v>
      </c>
      <c r="AD24" s="100">
        <f t="shared" si="14"/>
        <v>0</v>
      </c>
      <c r="AE24" t="str">
        <f t="shared" si="15"/>
        <v>0-5</v>
      </c>
    </row>
    <row r="25" spans="1:31" ht="21" customHeight="1">
      <c r="A25" s="33" t="s">
        <v>496</v>
      </c>
      <c r="B25" s="194"/>
      <c r="C25" s="29"/>
      <c r="D25" s="29"/>
      <c r="E25" s="29"/>
      <c r="F25" s="29"/>
      <c r="G25" s="189">
        <f t="shared" si="24"/>
        <v>0.1</v>
      </c>
      <c r="H25" s="189">
        <f t="shared" si="17"/>
        <v>0</v>
      </c>
      <c r="I25" s="190">
        <f t="shared" si="16"/>
        <v>0</v>
      </c>
      <c r="J25" s="55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8"/>
        <v>0</v>
      </c>
      <c r="N25" s="15">
        <f t="shared" si="19"/>
        <v>0.1</v>
      </c>
      <c r="O25" s="15">
        <f t="shared" si="20"/>
        <v>0.1</v>
      </c>
      <c r="P25" s="15">
        <f t="shared" si="21"/>
        <v>0.1</v>
      </c>
      <c r="Q25" s="15">
        <f t="shared" si="22"/>
        <v>0.1</v>
      </c>
      <c r="R25" s="15">
        <f t="shared" si="23"/>
        <v>0.1</v>
      </c>
      <c r="T25" s="82" t="s">
        <v>64</v>
      </c>
      <c r="U25" s="83">
        <f>'Grad 1'!I11</f>
        <v>0</v>
      </c>
      <c r="V25" s="83">
        <f>'Grad 1'!I28</f>
        <v>0</v>
      </c>
      <c r="W25" s="83">
        <f>'Grad 1'!I44</f>
        <v>0</v>
      </c>
      <c r="X25" s="84" t="str">
        <f t="shared" si="12"/>
        <v xml:space="preserve"> </v>
      </c>
      <c r="Y25" s="519" t="str">
        <f t="shared" si="13"/>
        <v xml:space="preserve"> </v>
      </c>
      <c r="Z25" s="85">
        <f>'QMC Mix'!G14</f>
        <v>0</v>
      </c>
      <c r="AA25" s="101">
        <f>IF((Z25-4)&gt;0,Z25-4,0)</f>
        <v>0</v>
      </c>
      <c r="AB25" s="101">
        <f>IF(Z25+4&gt;10,ROUND(Z25+4,1),ROUND(Z25+4,0))</f>
        <v>4</v>
      </c>
      <c r="AC25" s="81" t="str">
        <f t="shared" si="11"/>
        <v>No</v>
      </c>
      <c r="AD25" s="100">
        <f t="shared" si="14"/>
        <v>0</v>
      </c>
      <c r="AE25" t="str">
        <f t="shared" si="15"/>
        <v>0-4</v>
      </c>
    </row>
    <row r="26" spans="1:31" ht="21" customHeight="1">
      <c r="A26" s="33" t="s">
        <v>497</v>
      </c>
      <c r="B26" s="194"/>
      <c r="C26" s="29"/>
      <c r="D26" s="29"/>
      <c r="E26" s="29"/>
      <c r="F26" s="29"/>
      <c r="G26" s="189">
        <f t="shared" si="24"/>
        <v>0.1</v>
      </c>
      <c r="H26" s="189">
        <f t="shared" si="17"/>
        <v>0</v>
      </c>
      <c r="I26" s="190">
        <f t="shared" si="16"/>
        <v>0</v>
      </c>
      <c r="J26" s="55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8"/>
        <v>0</v>
      </c>
      <c r="N26" s="15">
        <f t="shared" si="19"/>
        <v>0.1</v>
      </c>
      <c r="O26" s="15">
        <f t="shared" si="20"/>
        <v>0.1</v>
      </c>
      <c r="P26" s="15">
        <f t="shared" si="21"/>
        <v>0.1</v>
      </c>
      <c r="Q26" s="15">
        <f t="shared" si="22"/>
        <v>0.1</v>
      </c>
      <c r="R26" s="15">
        <f t="shared" si="23"/>
        <v>0.1</v>
      </c>
      <c r="T26" s="82" t="s">
        <v>65</v>
      </c>
      <c r="U26" s="86">
        <f>U25-($U$25-$U$30)/5</f>
        <v>0</v>
      </c>
      <c r="V26" s="86">
        <f>V25-($V$25-$V$30)/5</f>
        <v>0</v>
      </c>
      <c r="W26" s="83">
        <f>'Grad 1'!I45</f>
        <v>0</v>
      </c>
      <c r="X26" s="84" t="str">
        <f t="shared" si="12"/>
        <v xml:space="preserve"> </v>
      </c>
      <c r="Y26" s="519" t="str">
        <f t="shared" si="13"/>
        <v xml:space="preserve"> </v>
      </c>
      <c r="Z26" s="85">
        <f>'QMC Mix'!G15</f>
        <v>0</v>
      </c>
      <c r="AA26" s="101">
        <f>IF((Z26-4)&gt;0,Z26-4,0)</f>
        <v>0</v>
      </c>
      <c r="AB26" s="101">
        <f>IF(Z26+4&gt;10,ROUND(Z26+4,1),ROUND(Z26+4,0))</f>
        <v>4</v>
      </c>
      <c r="AC26" s="81" t="str">
        <f t="shared" si="11"/>
        <v>No</v>
      </c>
      <c r="AD26" s="100">
        <f t="shared" si="14"/>
        <v>0</v>
      </c>
      <c r="AE26" t="str">
        <f t="shared" si="15"/>
        <v>0-4</v>
      </c>
    </row>
    <row r="27" spans="1:31" ht="21" customHeight="1">
      <c r="A27" s="33" t="s">
        <v>498</v>
      </c>
      <c r="B27" s="194"/>
      <c r="C27" s="29"/>
      <c r="D27" s="29"/>
      <c r="E27" s="29"/>
      <c r="F27" s="29"/>
      <c r="G27" s="189">
        <f t="shared" si="24"/>
        <v>0.1</v>
      </c>
      <c r="H27" s="189">
        <f t="shared" si="17"/>
        <v>0</v>
      </c>
      <c r="I27" s="190">
        <f t="shared" si="16"/>
        <v>0</v>
      </c>
      <c r="J27" s="554" t="str">
        <f>IF('Proj Info'!B50=" "," ",'Proj Info'!B50)</f>
        <v>0-30</v>
      </c>
      <c r="K27" s="17"/>
      <c r="L27" s="17"/>
      <c r="M27" s="18">
        <f t="shared" si="18"/>
        <v>0</v>
      </c>
      <c r="N27" s="15">
        <f t="shared" si="19"/>
        <v>0.1</v>
      </c>
      <c r="O27" s="15">
        <f t="shared" si="20"/>
        <v>0.1</v>
      </c>
      <c r="P27" s="15">
        <f t="shared" si="21"/>
        <v>0.1</v>
      </c>
      <c r="Q27" s="15">
        <f t="shared" si="22"/>
        <v>0.1</v>
      </c>
      <c r="R27" s="15">
        <f t="shared" si="23"/>
        <v>0.1</v>
      </c>
      <c r="T27" s="82" t="s">
        <v>66</v>
      </c>
      <c r="U27" s="86">
        <f>U26-($U$25-$U$30)/5</f>
        <v>0</v>
      </c>
      <c r="V27" s="86">
        <f>V26-($V$25-$V$30)/5</f>
        <v>0</v>
      </c>
      <c r="W27" s="83">
        <f>'Grad 1'!I46</f>
        <v>0</v>
      </c>
      <c r="X27" s="84" t="str">
        <f t="shared" si="12"/>
        <v xml:space="preserve"> </v>
      </c>
      <c r="Y27" s="519" t="str">
        <f t="shared" si="13"/>
        <v xml:space="preserve"> </v>
      </c>
      <c r="Z27" s="85">
        <f>'QMC Mix'!G16</f>
        <v>0</v>
      </c>
      <c r="AA27" s="101">
        <f>IF((Z27-4)&gt;0,Z27-4,0)</f>
        <v>0</v>
      </c>
      <c r="AB27" s="101">
        <f>IF(Z27+4&gt;10,ROUND(Z27+4,1),ROUND(Z27+4,1))</f>
        <v>4</v>
      </c>
      <c r="AC27" s="81" t="str">
        <f t="shared" si="11"/>
        <v>No</v>
      </c>
      <c r="AD27" s="100">
        <f t="shared" si="14"/>
        <v>0</v>
      </c>
      <c r="AE27" t="str">
        <f t="shared" si="15"/>
        <v>0-4</v>
      </c>
    </row>
    <row r="28" spans="1:31" ht="21" customHeight="1" thickBot="1">
      <c r="A28" s="33" t="s">
        <v>499</v>
      </c>
      <c r="B28" s="194"/>
      <c r="C28" s="29"/>
      <c r="D28" s="36" t="s">
        <v>27</v>
      </c>
      <c r="E28" s="29"/>
      <c r="F28" s="29"/>
      <c r="G28" s="189">
        <f t="shared" si="24"/>
        <v>0.1</v>
      </c>
      <c r="H28" s="189">
        <f t="shared" si="17"/>
        <v>0</v>
      </c>
      <c r="I28" s="190">
        <f t="shared" si="16"/>
        <v>0</v>
      </c>
      <c r="J28" s="554" t="str">
        <f>IF('Proj Info'!B51=" "," ",'Proj Info'!B51)</f>
        <v/>
      </c>
      <c r="K28" s="17"/>
      <c r="L28" s="17"/>
      <c r="M28" s="18">
        <f t="shared" si="18"/>
        <v>0</v>
      </c>
      <c r="N28" s="15">
        <f t="shared" si="19"/>
        <v>0.1</v>
      </c>
      <c r="O28" s="15">
        <f t="shared" si="20"/>
        <v>0.1</v>
      </c>
      <c r="P28" s="15">
        <f t="shared" si="21"/>
        <v>0.1</v>
      </c>
      <c r="Q28" s="15">
        <f t="shared" si="22"/>
        <v>0.1</v>
      </c>
      <c r="R28" s="15">
        <f t="shared" si="23"/>
        <v>0.1</v>
      </c>
      <c r="T28" s="82" t="s">
        <v>67</v>
      </c>
      <c r="U28" s="86">
        <f>U27-($U$25-$U$30)/5</f>
        <v>0</v>
      </c>
      <c r="V28" s="86">
        <f>V27-($V$25-$V$30)/5</f>
        <v>0</v>
      </c>
      <c r="W28" s="83">
        <f>'Grad 1'!I47</f>
        <v>0</v>
      </c>
      <c r="X28" s="84" t="str">
        <f t="shared" si="12"/>
        <v xml:space="preserve"> </v>
      </c>
      <c r="Y28" s="519" t="str">
        <f t="shared" si="13"/>
        <v xml:space="preserve"> </v>
      </c>
      <c r="Z28" s="85">
        <f>'QMC Mix'!G17</f>
        <v>0</v>
      </c>
      <c r="AA28" s="101">
        <f>IF((Z28-3)&gt;0,Z28-3,0)</f>
        <v>0</v>
      </c>
      <c r="AB28" s="101">
        <f>IF(Z28+3&gt;10,ROUND(Z28+3,0),ROUND(Z28+3,1))</f>
        <v>3</v>
      </c>
      <c r="AC28" s="81" t="str">
        <f t="shared" si="11"/>
        <v>No</v>
      </c>
      <c r="AD28" s="100">
        <f t="shared" si="14"/>
        <v>0</v>
      </c>
      <c r="AE28" t="str">
        <f t="shared" si="15"/>
        <v>0-3</v>
      </c>
    </row>
    <row r="29" spans="1:31" ht="21" customHeight="1" thickBot="1">
      <c r="A29" s="33" t="s">
        <v>39</v>
      </c>
      <c r="B29" s="187"/>
      <c r="C29" s="29"/>
      <c r="D29" s="192">
        <f>IF(B29="",0,SUM(B22:B29))</f>
        <v>0</v>
      </c>
      <c r="E29" s="29"/>
      <c r="F29" s="29"/>
      <c r="G29" s="189">
        <f t="shared" si="24"/>
        <v>0.1</v>
      </c>
      <c r="H29" s="37"/>
      <c r="I29" s="37"/>
      <c r="J29" s="555"/>
      <c r="K29" s="17"/>
      <c r="L29" s="17"/>
      <c r="M29" s="18">
        <f t="shared" si="18"/>
        <v>0</v>
      </c>
      <c r="N29" s="15">
        <f t="shared" si="19"/>
        <v>0.1</v>
      </c>
      <c r="O29" s="15">
        <f t="shared" si="20"/>
        <v>0.1</v>
      </c>
      <c r="P29" s="15">
        <f t="shared" si="21"/>
        <v>0.1</v>
      </c>
      <c r="Q29" s="15">
        <f t="shared" si="22"/>
        <v>0.1</v>
      </c>
      <c r="R29" s="15">
        <f t="shared" si="23"/>
        <v>0.1</v>
      </c>
      <c r="T29" s="82" t="s">
        <v>68</v>
      </c>
      <c r="U29" s="86">
        <f>U28-($U$25-$U$30)/5</f>
        <v>0</v>
      </c>
      <c r="V29" s="86">
        <f>V28-($V$25-$V$30)/5</f>
        <v>0</v>
      </c>
      <c r="W29" s="83">
        <f>'Grad 1'!I48</f>
        <v>0</v>
      </c>
      <c r="X29" s="84" t="str">
        <f t="shared" si="12"/>
        <v xml:space="preserve"> </v>
      </c>
      <c r="Y29" s="519" t="str">
        <f t="shared" si="13"/>
        <v xml:space="preserve"> </v>
      </c>
      <c r="Z29" s="85">
        <f>'QMC Mix'!G18</f>
        <v>0</v>
      </c>
      <c r="AA29" s="101">
        <f>IF((Z29-2)&gt;0,Z29-2,0)</f>
        <v>0</v>
      </c>
      <c r="AB29" s="101">
        <f>IF(Z29+2&gt;10,ROUND(Z29+2,0),ROUND(Z29+2,1))</f>
        <v>2</v>
      </c>
      <c r="AC29" s="81" t="str">
        <f t="shared" si="11"/>
        <v>No</v>
      </c>
      <c r="AD29" s="100">
        <f t="shared" si="14"/>
        <v>0</v>
      </c>
      <c r="AE29" t="str">
        <f t="shared" si="15"/>
        <v>0-2</v>
      </c>
    </row>
    <row r="30" spans="1:31" ht="21" customHeight="1">
      <c r="A30" s="509" t="s">
        <v>500</v>
      </c>
      <c r="B30" s="195"/>
      <c r="C30" s="37" t="s">
        <v>37</v>
      </c>
      <c r="D30" s="29"/>
      <c r="E30" s="29"/>
      <c r="F30" s="29"/>
      <c r="G30" s="189">
        <f>SUM(G22:G29)</f>
        <v>0.79999999999999993</v>
      </c>
      <c r="H30" s="191"/>
      <c r="I30" s="191"/>
      <c r="J30" s="555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1'!I14</f>
        <v>0</v>
      </c>
      <c r="V30" s="83">
        <f>'Grad 1'!I31</f>
        <v>0</v>
      </c>
      <c r="W30" s="83">
        <f>'Grad 1'!I49</f>
        <v>0</v>
      </c>
      <c r="X30" s="84" t="str">
        <f t="shared" si="12"/>
        <v xml:space="preserve"> </v>
      </c>
      <c r="Y30" s="519" t="str">
        <f t="shared" si="13"/>
        <v xml:space="preserve"> </v>
      </c>
      <c r="Z30" s="85">
        <f>'QMC Mix'!G19</f>
        <v>2</v>
      </c>
      <c r="AA30" s="101">
        <v>0</v>
      </c>
      <c r="AB30" s="101">
        <f>Z30</f>
        <v>2</v>
      </c>
      <c r="AC30" s="81" t="str">
        <f t="shared" si="11"/>
        <v>No</v>
      </c>
      <c r="AD30" s="100">
        <f t="shared" si="14"/>
        <v>0</v>
      </c>
      <c r="AE30" t="str">
        <f t="shared" si="15"/>
        <v>0-2</v>
      </c>
    </row>
    <row r="31" spans="1:31" ht="21" customHeight="1" thickBot="1">
      <c r="A31" s="510" t="s">
        <v>501</v>
      </c>
      <c r="B31" s="196"/>
      <c r="C31" s="37" t="s">
        <v>38</v>
      </c>
      <c r="D31" s="29"/>
      <c r="E31" s="29"/>
      <c r="F31" s="29"/>
      <c r="G31" s="191"/>
      <c r="H31" s="38" t="s">
        <v>17</v>
      </c>
      <c r="I31" s="188">
        <f>ROUND(IF(B34=0,0,SUM(B34/B30)*100),1)</f>
        <v>0</v>
      </c>
      <c r="J31" s="554" t="str">
        <f>IF('Proj Info'!B52=" "," ",'Proj Info'!B52)</f>
        <v/>
      </c>
      <c r="K31" s="14"/>
      <c r="L31" s="17"/>
      <c r="M31" s="17">
        <f t="shared" ref="M31:R31" si="25">ROUND(IF(M29="",0,SUM(M22:M29)),1)</f>
        <v>0</v>
      </c>
      <c r="N31" s="17">
        <f t="shared" si="25"/>
        <v>0.8</v>
      </c>
      <c r="O31" s="17">
        <f t="shared" si="25"/>
        <v>0.8</v>
      </c>
      <c r="P31" s="17">
        <f t="shared" si="25"/>
        <v>0.8</v>
      </c>
      <c r="Q31" s="17">
        <f t="shared" si="25"/>
        <v>0.8</v>
      </c>
      <c r="R31" s="17">
        <f t="shared" si="25"/>
        <v>0.8</v>
      </c>
      <c r="T31" s="87"/>
      <c r="U31" s="88"/>
      <c r="V31" s="88"/>
      <c r="W31" s="88"/>
      <c r="X31" s="89"/>
      <c r="Y31" s="89"/>
      <c r="Z31" s="90"/>
      <c r="AA31" s="91"/>
      <c r="AB31" s="91"/>
      <c r="AC31" s="76"/>
      <c r="AD31" s="100">
        <f>+SUM(AD19:AD30)</f>
        <v>0</v>
      </c>
      <c r="AE31" t="str">
        <f>IF(AD31=12,"Y","N")</f>
        <v>N</v>
      </c>
    </row>
    <row r="32" spans="1:31" ht="21" customHeight="1" thickTop="1">
      <c r="A32" s="33" t="s">
        <v>39</v>
      </c>
      <c r="B32" s="187"/>
      <c r="C32" s="37" t="s">
        <v>40</v>
      </c>
      <c r="D32" s="29"/>
      <c r="E32" s="29"/>
      <c r="F32" s="29"/>
      <c r="G32" s="21"/>
      <c r="H32" s="29"/>
      <c r="I32" s="29"/>
      <c r="J32" s="2"/>
      <c r="K32" s="14"/>
      <c r="L32" s="14"/>
      <c r="M32" s="14"/>
      <c r="N32" s="14"/>
      <c r="O32" s="14"/>
      <c r="P32" s="14"/>
      <c r="Q32" s="14"/>
      <c r="R32" s="14"/>
      <c r="X32" t="s">
        <v>129</v>
      </c>
      <c r="Y32" s="166" t="str">
        <f>IF(B4="","",((100-Y19)+(Y19-Y20)+(Y20-Y21)+(Y21-Y22)+(Y22-Y23))/((100-Y19)+(Y19-Y20)+(Y20-Y21)+(Y21-Y22)+(Y22-Y23)+(Y23-Y24)+(Y24-Y25))*100)</f>
        <v/>
      </c>
    </row>
    <row r="33" spans="1:25" ht="21" customHeight="1">
      <c r="A33" s="33" t="s">
        <v>41</v>
      </c>
      <c r="B33" s="188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130</v>
      </c>
      <c r="Y33" s="166" t="str">
        <f>IF(Y25="","",Y25)</f>
        <v xml:space="preserve"> </v>
      </c>
    </row>
    <row r="34" spans="1:25" ht="21" customHeight="1">
      <c r="A34" s="33" t="s">
        <v>43</v>
      </c>
      <c r="B34" s="197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502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512" t="s">
        <v>503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513" t="s">
        <v>504</v>
      </c>
      <c r="B39" s="187"/>
      <c r="C39" s="569" t="s">
        <v>139</v>
      </c>
      <c r="D39" s="570"/>
      <c r="E39" s="185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  <c r="S39" s="12"/>
    </row>
    <row r="40" spans="1:25" ht="21" customHeight="1">
      <c r="A40" s="513" t="s">
        <v>505</v>
      </c>
      <c r="B40" s="187"/>
      <c r="C40" s="29"/>
      <c r="D40" s="571" t="str">
        <f>IF(E39&lt;5,"",IF(E39&lt;99.5,"Check Weights.",IF(E39&gt;100.5,"Check Weights","")))</f>
        <v/>
      </c>
      <c r="E40" s="572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  <c r="S40" s="12"/>
    </row>
    <row r="41" spans="1:25" ht="21" customHeight="1">
      <c r="A41" s="33" t="s">
        <v>496</v>
      </c>
      <c r="B41" s="187"/>
      <c r="C41" s="29"/>
      <c r="D41" s="34"/>
      <c r="E41" s="35"/>
      <c r="F41" s="35"/>
      <c r="G41" s="188">
        <f t="shared" ref="G41:G47" si="26">IF($M$52=100,$M41,IF($N$52=100,$N41,IF($O$52=100,$O41,IF($P$52=100,$P41,IF($Q$52=100,$Q41,IF($R$52=100,$R41,$R41))))))</f>
        <v>0.1</v>
      </c>
      <c r="H41" s="188">
        <f>IF(D51=0,0,100-G41)</f>
        <v>0</v>
      </c>
      <c r="I41" s="198">
        <f>IF(H41&gt;9.9,ROUND(H41,0),ROUND(H41,1))</f>
        <v>0</v>
      </c>
      <c r="J41" s="199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  <c r="S41" s="12"/>
    </row>
    <row r="42" spans="1:25" ht="21" customHeight="1">
      <c r="A42" s="33" t="s">
        <v>497</v>
      </c>
      <c r="B42" s="187"/>
      <c r="C42" s="29"/>
      <c r="D42" s="29"/>
      <c r="E42" s="29"/>
      <c r="F42" s="29"/>
      <c r="G42" s="188">
        <f t="shared" si="26"/>
        <v>0.1</v>
      </c>
      <c r="H42" s="188">
        <f t="shared" ref="H42:H49" si="27">IF(H41=0,0,(H41-G42))</f>
        <v>0</v>
      </c>
      <c r="I42" s="198">
        <f>IF(H42&gt;9.9,ROUND(H42,0),ROUND(H42,1))</f>
        <v>0</v>
      </c>
      <c r="J42" s="199" t="str">
        <f>IF('Proj Info'!B53=" "," ",'Proj Info'!B53)</f>
        <v/>
      </c>
      <c r="K42" s="14"/>
      <c r="L42" s="14"/>
      <c r="M42" s="22">
        <f>ROUND(IF(B42="",0,SUM(B42/$B$39)*100),1)</f>
        <v>0</v>
      </c>
      <c r="N42" s="19">
        <f>IF(M42=K43,L43,M42)</f>
        <v>0.1</v>
      </c>
      <c r="O42" s="23">
        <f>IF(N42=K$44,L$44,N42)</f>
        <v>0.1</v>
      </c>
      <c r="P42" s="23">
        <f>IF(O42=K$45,L$45,O42)</f>
        <v>0.1</v>
      </c>
      <c r="Q42" s="23">
        <f>IF(P42=K$46,L$46,P42)</f>
        <v>0.1</v>
      </c>
      <c r="R42" s="23">
        <f>IF(Q42=K$46,L$46,Q42)</f>
        <v>0.1</v>
      </c>
      <c r="S42" s="12"/>
    </row>
    <row r="43" spans="1:25" ht="21" customHeight="1">
      <c r="A43" s="33" t="s">
        <v>498</v>
      </c>
      <c r="B43" s="187"/>
      <c r="C43" s="29"/>
      <c r="D43" s="29"/>
      <c r="E43" s="29"/>
      <c r="F43" s="29"/>
      <c r="G43" s="188">
        <f t="shared" si="26"/>
        <v>0.1</v>
      </c>
      <c r="H43" s="188">
        <f t="shared" si="27"/>
        <v>0</v>
      </c>
      <c r="I43" s="198">
        <f>IF(H43&gt;9.9,ROUND(H43,0),ROUND(H43,1))</f>
        <v>0</v>
      </c>
      <c r="J43" s="199" t="str">
        <f>IF('Proj Info'!B54=" "," ",'Proj Info'!B54)</f>
        <v/>
      </c>
      <c r="K43" s="17">
        <f>LARGE(M43:M47,1)</f>
        <v>0</v>
      </c>
      <c r="L43" s="17">
        <f>IF(M52&lt;100,(K43+0.1),IF(M52&gt;100,(K43-0.1),K43))</f>
        <v>0.1</v>
      </c>
      <c r="M43" s="22">
        <f>ROUND(IF(B43="",0,SUM(B43/$B$39)*100),1)</f>
        <v>0</v>
      </c>
      <c r="N43" s="19">
        <f>IF(M43=$K$43,$L$43,M43)</f>
        <v>0.1</v>
      </c>
      <c r="O43" s="23">
        <f>IF(N43=K$44,L$44,N43)</f>
        <v>0.1</v>
      </c>
      <c r="P43" s="23">
        <f>IF(O43=K$45,L$45,O43)</f>
        <v>0.1</v>
      </c>
      <c r="Q43" s="23">
        <f>IF(P43=K$46,L$46,P43)</f>
        <v>0.1</v>
      </c>
      <c r="R43" s="23">
        <f>IF(Q43=K$47,L$47,Q43)</f>
        <v>0.1</v>
      </c>
      <c r="S43" s="12"/>
    </row>
    <row r="44" spans="1:25" ht="21" customHeight="1">
      <c r="A44" s="33" t="s">
        <v>499</v>
      </c>
      <c r="B44" s="187"/>
      <c r="C44" s="29"/>
      <c r="D44" s="29"/>
      <c r="E44" s="29"/>
      <c r="F44" s="29"/>
      <c r="G44" s="188">
        <f t="shared" si="26"/>
        <v>0.1</v>
      </c>
      <c r="H44" s="188">
        <f t="shared" si="27"/>
        <v>0</v>
      </c>
      <c r="I44" s="198">
        <f t="shared" ref="I44:I49" si="28">IF(H44&gt;9.9,ROUND(H44,0),ROUND(H44,1))</f>
        <v>0</v>
      </c>
      <c r="J44" s="199" t="str">
        <f>IF('Proj Info'!B55=" "," ",'Proj Info'!B55)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ref="M44:M49" si="29">ROUND(IF(B44="",0,SUM(B44/$B$39)*100),1)</f>
        <v>0</v>
      </c>
      <c r="N44" s="19">
        <f t="shared" ref="N44:N50" si="30">IF(M44=$K$43,$L$43,M44)</f>
        <v>0.1</v>
      </c>
      <c r="O44" s="23">
        <f t="shared" ref="O44:O50" si="31">IF(N44=K$44,L$44,N44)</f>
        <v>0.1</v>
      </c>
      <c r="P44" s="23">
        <f t="shared" ref="P44:P50" si="32">IF(O44=K$45,L$45,O44)</f>
        <v>0.1</v>
      </c>
      <c r="Q44" s="23">
        <f t="shared" ref="Q44:Q50" si="33">IF(P44=K$46,L$46,P44)</f>
        <v>0.1</v>
      </c>
      <c r="R44" s="23">
        <f t="shared" ref="R44:R50" si="34">IF(Q44=K$47,L$47,Q44)</f>
        <v>0.1</v>
      </c>
      <c r="S44" s="12"/>
    </row>
    <row r="45" spans="1:25" ht="21" customHeight="1">
      <c r="A45" s="33" t="s">
        <v>506</v>
      </c>
      <c r="B45" s="187"/>
      <c r="C45" s="29"/>
      <c r="D45" s="29"/>
      <c r="E45" s="29"/>
      <c r="F45" s="29"/>
      <c r="G45" s="188">
        <f t="shared" si="26"/>
        <v>0.1</v>
      </c>
      <c r="H45" s="188">
        <f t="shared" si="27"/>
        <v>0</v>
      </c>
      <c r="I45" s="198">
        <f t="shared" si="28"/>
        <v>0</v>
      </c>
      <c r="J45" s="200"/>
      <c r="K45" s="17">
        <f>LARGE(M43:M47,3)</f>
        <v>0</v>
      </c>
      <c r="L45" s="17">
        <f>IF(O52&gt;100,K45-0.1,IF(O52&lt;100,K45+0.1,K45))</f>
        <v>0.1</v>
      </c>
      <c r="M45" s="22">
        <f t="shared" si="29"/>
        <v>0</v>
      </c>
      <c r="N45" s="19">
        <f t="shared" si="30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4"/>
        <v>0.1</v>
      </c>
      <c r="S45" s="12"/>
    </row>
    <row r="46" spans="1:25" ht="21" customHeight="1">
      <c r="A46" s="33" t="s">
        <v>507</v>
      </c>
      <c r="B46" s="187"/>
      <c r="C46" s="29"/>
      <c r="D46" s="29"/>
      <c r="E46" s="29"/>
      <c r="F46" s="29"/>
      <c r="G46" s="188">
        <f t="shared" si="26"/>
        <v>0.1</v>
      </c>
      <c r="H46" s="188">
        <f t="shared" si="27"/>
        <v>0</v>
      </c>
      <c r="I46" s="198">
        <f t="shared" si="28"/>
        <v>0</v>
      </c>
      <c r="J46" s="199" t="str">
        <f>IF('Proj Info'!B56=" "," ",'Proj Info'!B56)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29"/>
        <v>0</v>
      </c>
      <c r="N46" s="19">
        <f t="shared" si="30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4"/>
        <v>0.1</v>
      </c>
      <c r="S46" s="12"/>
    </row>
    <row r="47" spans="1:25" ht="21" customHeight="1">
      <c r="A47" s="33" t="s">
        <v>508</v>
      </c>
      <c r="B47" s="187"/>
      <c r="C47" s="29"/>
      <c r="D47" s="29"/>
      <c r="E47" s="29"/>
      <c r="F47" s="29"/>
      <c r="G47" s="188">
        <f t="shared" si="26"/>
        <v>0.1</v>
      </c>
      <c r="H47" s="188">
        <f t="shared" si="27"/>
        <v>0</v>
      </c>
      <c r="I47" s="198">
        <f t="shared" si="28"/>
        <v>0</v>
      </c>
      <c r="J47" s="201"/>
      <c r="K47" s="17">
        <f>LARGE(M43:M47,5)</f>
        <v>0</v>
      </c>
      <c r="L47" s="17">
        <f>IF(Q52&gt;100,K47-0.1,IF(Q52&lt;100,K47+0.1,K47))</f>
        <v>0.1</v>
      </c>
      <c r="M47" s="22">
        <f t="shared" si="29"/>
        <v>0</v>
      </c>
      <c r="N47" s="19">
        <f t="shared" si="30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4"/>
        <v>0.1</v>
      </c>
      <c r="S47" s="12"/>
    </row>
    <row r="48" spans="1:25" ht="21" customHeight="1">
      <c r="A48" s="33" t="s">
        <v>509</v>
      </c>
      <c r="B48" s="187"/>
      <c r="C48" s="29"/>
      <c r="D48" s="29"/>
      <c r="E48" s="29"/>
      <c r="F48" s="29"/>
      <c r="G48" s="188">
        <f>IF($M$52=100,$M48,IF($N$52=100,$N48,IF($O$52=100,$O48,IF($P$52=100,$P48,IF($Q$52=100,$Q48,IF($R$52=100,$R48,$R48))))))</f>
        <v>0.1</v>
      </c>
      <c r="H48" s="188">
        <f t="shared" si="27"/>
        <v>0</v>
      </c>
      <c r="I48" s="198">
        <f t="shared" si="28"/>
        <v>0</v>
      </c>
      <c r="J48" s="200"/>
      <c r="K48" s="17"/>
      <c r="L48" s="17"/>
      <c r="M48" s="22">
        <f t="shared" si="29"/>
        <v>0</v>
      </c>
      <c r="N48" s="19">
        <f t="shared" si="30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4"/>
        <v>0.1</v>
      </c>
    </row>
    <row r="49" spans="1:18" ht="21" customHeight="1">
      <c r="A49" s="33" t="s">
        <v>510</v>
      </c>
      <c r="B49" s="187"/>
      <c r="C49" s="29"/>
      <c r="D49" s="29"/>
      <c r="E49" s="29"/>
      <c r="F49" s="29"/>
      <c r="G49" s="188">
        <f>IF($M$52=100,$M49,IF($N$52=100,$N49,IF($O$52=100,$O49,IF($P$52=100,$P49,IF($Q$52=100,$Q49,IF($R$52=100,$R49,$R49))))))</f>
        <v>0.1</v>
      </c>
      <c r="H49" s="188">
        <f t="shared" si="27"/>
        <v>0</v>
      </c>
      <c r="I49" s="198">
        <f t="shared" si="28"/>
        <v>0</v>
      </c>
      <c r="J49" s="199" t="str">
        <f>IF('Proj Info'!B57=" "," ",'Proj Info'!B57)</f>
        <v/>
      </c>
      <c r="K49" s="17"/>
      <c r="L49" s="17"/>
      <c r="M49" s="22">
        <f t="shared" si="29"/>
        <v>0</v>
      </c>
      <c r="N49" s="19">
        <f t="shared" si="30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4"/>
        <v>0.1</v>
      </c>
    </row>
    <row r="50" spans="1:18" ht="21" customHeight="1" thickBot="1">
      <c r="A50" s="33" t="s">
        <v>47</v>
      </c>
      <c r="B50" s="187"/>
      <c r="C50" s="29"/>
      <c r="D50" s="36" t="s">
        <v>27</v>
      </c>
      <c r="E50" s="29"/>
      <c r="F50" s="29"/>
      <c r="G50" s="188">
        <f>IF($M$52=100,$M50,IF($N$52=100,$N50,IF($O$52=100,$O50,IF($P$52=100,$P50,IF($Q$52=100,$Q50,IF($R$52=100,$R50,$R50))))))</f>
        <v>0.1</v>
      </c>
      <c r="H50" s="184"/>
      <c r="I50" s="184"/>
      <c r="J50" s="21"/>
      <c r="K50" s="17"/>
      <c r="L50" s="17"/>
      <c r="M50" s="22">
        <f>ROUND(IF(B50="",0,SUM((B50+B51)/$B$39)*100),1)</f>
        <v>0</v>
      </c>
      <c r="N50" s="19">
        <f t="shared" si="30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4"/>
        <v>0.1</v>
      </c>
    </row>
    <row r="51" spans="1:18" ht="21" customHeight="1" thickBot="1">
      <c r="A51" s="33" t="s">
        <v>48</v>
      </c>
      <c r="B51" s="188">
        <f>IF(B40="",0,SUM(B39-B40))</f>
        <v>0</v>
      </c>
      <c r="C51" s="29"/>
      <c r="D51" s="186">
        <f>IF(B50="",0,SUM(B41:B51))</f>
        <v>0</v>
      </c>
      <c r="E51" s="29"/>
      <c r="F51" s="29"/>
      <c r="G51" s="188">
        <f>IF(G50="",0,SUM(G41:G50))</f>
        <v>0.99999999999999989</v>
      </c>
      <c r="H51" s="184"/>
      <c r="I51" s="184"/>
      <c r="J51" s="21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5">ROUND(IF(M50="",0,SUM(M41:M50)),1)</f>
        <v>0</v>
      </c>
      <c r="N52" s="19">
        <f t="shared" si="35"/>
        <v>0.9</v>
      </c>
      <c r="O52" s="19">
        <f t="shared" si="35"/>
        <v>1</v>
      </c>
      <c r="P52" s="19">
        <f t="shared" si="35"/>
        <v>1</v>
      </c>
      <c r="Q52" s="19">
        <f t="shared" si="35"/>
        <v>1</v>
      </c>
      <c r="R52" s="19">
        <f t="shared" si="35"/>
        <v>1</v>
      </c>
    </row>
  </sheetData>
  <sheetProtection algorithmName="SHA-512" hashValue="NnPUwI9imCYxleM37wsSW61yDQ7Q/66G5YWje42A0eFeDV9x36QWUBqREtgzAcezpLSgO6OGhWiw6QezFPFjGQ==" saltValue="gBO/kUDNuI2uhWFZBVvggQ==" spinCount="100000" sheet="1" objects="1" scenarios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AE52"/>
  <sheetViews>
    <sheetView defaultGridColor="0" view="pageBreakPreview" colorId="22" zoomScale="75" zoomScaleNormal="75" workbookViewId="0">
      <pane xSplit="1" topLeftCell="B1" activePane="topRight" state="frozen"/>
      <selection pane="topRight" activeCell="B2" sqref="B2"/>
    </sheetView>
  </sheetViews>
  <sheetFormatPr defaultColWidth="9.77734375" defaultRowHeight="15"/>
  <cols>
    <col min="1" max="1" width="20.77734375" customWidth="1"/>
    <col min="2" max="3" width="10.77734375" customWidth="1"/>
    <col min="4" max="5" width="12.77734375" customWidth="1"/>
    <col min="6" max="8" width="10.77734375" customWidth="1"/>
    <col min="10" max="10" width="9.77734375" customWidth="1"/>
    <col min="11" max="12" width="9.77734375" hidden="1" customWidth="1"/>
    <col min="13" max="13" width="11.77734375" hidden="1" customWidth="1"/>
    <col min="14" max="18" width="9.77734375" hidden="1" customWidth="1"/>
  </cols>
  <sheetData>
    <row r="1" spans="1:29" ht="21" customHeight="1">
      <c r="A1" s="44" t="s">
        <v>364</v>
      </c>
      <c r="B1" s="515"/>
    </row>
    <row r="2" spans="1:29" ht="21" customHeight="1">
      <c r="A2" s="44" t="s">
        <v>145</v>
      </c>
      <c r="B2" t="str">
        <f>IF('Proj Info'!B4="","",'Proj Info'!B4)</f>
        <v/>
      </c>
      <c r="T2" s="45"/>
      <c r="U2" s="45"/>
      <c r="V2" s="45"/>
      <c r="W2" s="45"/>
      <c r="X2" s="46"/>
      <c r="Y2" s="46"/>
      <c r="Z2" s="45"/>
    </row>
    <row r="3" spans="1:29" ht="21" customHeight="1">
      <c r="A3" s="25" t="s">
        <v>146</v>
      </c>
      <c r="B3" s="26"/>
      <c r="C3" s="27"/>
      <c r="D3" s="28"/>
      <c r="E3" s="29"/>
      <c r="F3" s="29"/>
      <c r="G3" s="10" t="s">
        <v>30</v>
      </c>
      <c r="H3" s="30"/>
      <c r="I3" s="29"/>
      <c r="J3" s="2"/>
      <c r="K3" s="11"/>
      <c r="L3" s="11"/>
      <c r="M3" s="11"/>
      <c r="N3" s="11"/>
      <c r="O3" s="11"/>
      <c r="P3" s="11"/>
      <c r="Q3" s="11"/>
      <c r="R3" s="11"/>
      <c r="U3" s="45"/>
      <c r="V3" s="45"/>
      <c r="W3" s="45"/>
      <c r="X3" s="46"/>
      <c r="Y3" s="46"/>
      <c r="Z3" s="45"/>
    </row>
    <row r="4" spans="1:29" ht="21" customHeight="1" thickBot="1">
      <c r="A4" s="209" t="s">
        <v>144</v>
      </c>
      <c r="B4" s="193"/>
      <c r="C4" s="569" t="s">
        <v>31</v>
      </c>
      <c r="D4" s="573"/>
      <c r="E4" s="185">
        <f>ROUND(IF(D12=0,0,SUM(D12/B4)*100),1)</f>
        <v>0</v>
      </c>
      <c r="F4" s="31" t="s">
        <v>32</v>
      </c>
      <c r="G4" s="32" t="s">
        <v>33</v>
      </c>
      <c r="H4" s="32" t="s">
        <v>34</v>
      </c>
      <c r="I4" s="32" t="s">
        <v>35</v>
      </c>
      <c r="J4" s="13" t="s">
        <v>36</v>
      </c>
      <c r="K4" s="14"/>
      <c r="L4" s="14"/>
      <c r="M4" s="15" t="s">
        <v>33</v>
      </c>
      <c r="N4" s="15">
        <v>1</v>
      </c>
      <c r="O4" s="16">
        <v>2</v>
      </c>
      <c r="P4" s="16">
        <v>3</v>
      </c>
      <c r="Q4" s="17">
        <v>4</v>
      </c>
      <c r="R4" s="17">
        <v>5</v>
      </c>
      <c r="T4" s="47" t="s">
        <v>131</v>
      </c>
      <c r="U4" s="45"/>
      <c r="V4" s="45"/>
      <c r="W4" s="45"/>
      <c r="Y4" s="48" t="s">
        <v>73</v>
      </c>
      <c r="Z4" s="45"/>
    </row>
    <row r="5" spans="1:29" ht="21" customHeight="1" thickTop="1">
      <c r="A5" s="33" t="s">
        <v>493</v>
      </c>
      <c r="B5" s="194"/>
      <c r="C5" s="29"/>
      <c r="D5" s="574" t="str">
        <f>IF(E4&lt;5,"",IF(E4&lt;99.5,"Check Weights.",IF(E4&gt;100.5,"Check Weights","")))</f>
        <v/>
      </c>
      <c r="E5" s="575"/>
      <c r="F5" s="35"/>
      <c r="G5" s="189">
        <f t="shared" ref="G5:G12" si="0">IF($M$14=100,$M5,IF($N$14=100,$N5,IF($O$14=100,$O5,IF($P$14=100,$P5,IF($Q$14=100,$Q5,IF($R$14=100,$R5,$R5))))))</f>
        <v>0.1</v>
      </c>
      <c r="H5" s="189">
        <f>IF(D12=0,0,100)</f>
        <v>0</v>
      </c>
      <c r="I5" s="190">
        <f t="shared" ref="I5:I11" si="1">IF(H5&gt;9.9,ROUND(H5,0),ROUND(H5,1))</f>
        <v>0</v>
      </c>
      <c r="J5" s="13" t="str">
        <f>IF('Proj Info'!B39=" "," ",'Proj Info'!B39)</f>
        <v/>
      </c>
      <c r="K5" s="17">
        <f>LARGE(M5:M12,1)</f>
        <v>0</v>
      </c>
      <c r="L5" s="17">
        <f>IF(M14&lt;100,(K5+0.1),IF(M14&gt;100,(K5-0.1),K5))</f>
        <v>0.1</v>
      </c>
      <c r="M5" s="18">
        <f t="shared" ref="M5:M12" si="2">ROUND(IF(B5="",0,SUM(B5/$B$4)*100),1)</f>
        <v>0</v>
      </c>
      <c r="N5" s="15">
        <f t="shared" ref="N5:N12" si="3">IF(M5=$K$5,$L$5,M5)</f>
        <v>0.1</v>
      </c>
      <c r="O5" s="15">
        <f t="shared" ref="O5:O12" si="4">IF(N5=K$6,L$6,N5)</f>
        <v>0.1</v>
      </c>
      <c r="P5" s="15">
        <f t="shared" ref="P5:P12" si="5">IF(O5=K$7,L$7,O5)</f>
        <v>0.1</v>
      </c>
      <c r="Q5" s="15">
        <f t="shared" ref="Q5:Q12" si="6">IF(P5=K$8,L$8,P5)</f>
        <v>0.1</v>
      </c>
      <c r="R5" s="15">
        <f t="shared" ref="R5:R12" si="7">IF(Q5=K$9,L$9,Q5)</f>
        <v>0.1</v>
      </c>
      <c r="T5" s="49" t="s">
        <v>74</v>
      </c>
      <c r="U5" s="50"/>
      <c r="V5" s="50"/>
      <c r="W5" s="51"/>
      <c r="X5" s="52"/>
      <c r="Y5" s="52">
        <f>'QMC Mix'!D11</f>
        <v>0</v>
      </c>
      <c r="Z5" s="53" t="e">
        <f>Y5/(SUM($Y$5:$Y$7))</f>
        <v>#DIV/0!</v>
      </c>
    </row>
    <row r="6" spans="1:29" ht="21" customHeight="1">
      <c r="A6" s="33" t="s">
        <v>494</v>
      </c>
      <c r="B6" s="194"/>
      <c r="C6" s="29"/>
      <c r="D6" s="31"/>
      <c r="E6" s="29"/>
      <c r="F6" s="29"/>
      <c r="G6" s="189">
        <f t="shared" si="0"/>
        <v>0.1</v>
      </c>
      <c r="H6" s="189">
        <f t="shared" ref="H6:H11" si="8">IF(H5=0,0,(H5-G6))</f>
        <v>0</v>
      </c>
      <c r="I6" s="190">
        <f t="shared" si="1"/>
        <v>0</v>
      </c>
      <c r="J6" s="13" t="str">
        <f>IF('Proj Info'!B40=" "," ",'Proj Info'!B40)</f>
        <v/>
      </c>
      <c r="K6" s="17">
        <f>LARGE(M5:M12,2)</f>
        <v>0</v>
      </c>
      <c r="L6" s="17">
        <f>IF(N14&gt;100,K6-0.1,IF(N14&lt;100,K6+0.1,K6))</f>
        <v>0.1</v>
      </c>
      <c r="M6" s="18">
        <f t="shared" si="2"/>
        <v>0</v>
      </c>
      <c r="N6" s="15">
        <f t="shared" si="3"/>
        <v>0.1</v>
      </c>
      <c r="O6" s="15">
        <f t="shared" si="4"/>
        <v>0.1</v>
      </c>
      <c r="P6" s="15">
        <f t="shared" si="5"/>
        <v>0.1</v>
      </c>
      <c r="Q6" s="15">
        <f t="shared" si="6"/>
        <v>0.1</v>
      </c>
      <c r="R6" s="15">
        <f t="shared" si="7"/>
        <v>0.1</v>
      </c>
      <c r="T6" s="54" t="s">
        <v>75</v>
      </c>
      <c r="U6" s="55"/>
      <c r="V6" s="55"/>
      <c r="W6" s="56"/>
      <c r="X6" s="57"/>
      <c r="Y6" s="58">
        <f>'QMC Mix'!D12</f>
        <v>0</v>
      </c>
      <c r="Z6" s="59" t="e">
        <f>Y6/(SUM($Y$5:$Y$7))</f>
        <v>#DIV/0!</v>
      </c>
    </row>
    <row r="7" spans="1:29" ht="21" customHeight="1" thickBot="1">
      <c r="A7" s="33" t="s">
        <v>495</v>
      </c>
      <c r="B7" s="194"/>
      <c r="C7" s="29"/>
      <c r="D7" s="29"/>
      <c r="E7" s="29"/>
      <c r="F7" s="29"/>
      <c r="G7" s="189">
        <f t="shared" si="0"/>
        <v>0.1</v>
      </c>
      <c r="H7" s="189">
        <f t="shared" si="8"/>
        <v>0</v>
      </c>
      <c r="I7" s="190">
        <f t="shared" si="1"/>
        <v>0</v>
      </c>
      <c r="J7" s="13" t="str">
        <f>IF('Proj Info'!B41=" "," ",'Proj Info'!B41)</f>
        <v/>
      </c>
      <c r="K7" s="17">
        <f>LARGE(M5:M12,3)</f>
        <v>0</v>
      </c>
      <c r="L7" s="17">
        <f>IF(O14&gt;100,K7-0.1,IF(O14&lt;100,K7+0.1,K7))</f>
        <v>0.1</v>
      </c>
      <c r="M7" s="18">
        <f t="shared" si="2"/>
        <v>0</v>
      </c>
      <c r="N7" s="15">
        <f t="shared" si="3"/>
        <v>0.1</v>
      </c>
      <c r="O7" s="15">
        <f t="shared" si="4"/>
        <v>0.1</v>
      </c>
      <c r="P7" s="15">
        <f t="shared" si="5"/>
        <v>0.1</v>
      </c>
      <c r="Q7" s="15">
        <f t="shared" si="6"/>
        <v>0.1</v>
      </c>
      <c r="R7" s="15">
        <f t="shared" si="7"/>
        <v>0.1</v>
      </c>
      <c r="T7" s="60" t="s">
        <v>76</v>
      </c>
      <c r="U7" s="61"/>
      <c r="V7" s="61"/>
      <c r="W7" s="62"/>
      <c r="X7" s="63"/>
      <c r="Y7" s="64">
        <f>'QMC Mix'!D13</f>
        <v>0</v>
      </c>
      <c r="Z7" s="65" t="e">
        <f>Y7/(SUM($Y$5:Y$7))</f>
        <v>#DIV/0!</v>
      </c>
    </row>
    <row r="8" spans="1:29" ht="21" customHeight="1" thickTop="1">
      <c r="A8" s="33" t="s">
        <v>496</v>
      </c>
      <c r="B8" s="194"/>
      <c r="C8" s="29"/>
      <c r="D8" s="29"/>
      <c r="E8" s="29"/>
      <c r="F8" s="29"/>
      <c r="G8" s="189">
        <f t="shared" si="0"/>
        <v>0.1</v>
      </c>
      <c r="H8" s="189">
        <f t="shared" si="8"/>
        <v>0</v>
      </c>
      <c r="I8" s="190">
        <f t="shared" si="1"/>
        <v>0</v>
      </c>
      <c r="J8" s="13" t="str">
        <f>IF('Proj Info'!B42=" "," ",'Proj Info'!B42)</f>
        <v/>
      </c>
      <c r="K8" s="17">
        <f>LARGE(M5:M12,4)</f>
        <v>0</v>
      </c>
      <c r="L8" s="17">
        <f>IF(P14&gt;100,K8-0.1,IF(P14&lt;100,K8+0.1,K8))</f>
        <v>0.1</v>
      </c>
      <c r="M8" s="18">
        <f t="shared" si="2"/>
        <v>0</v>
      </c>
      <c r="N8" s="15">
        <f t="shared" si="3"/>
        <v>0.1</v>
      </c>
      <c r="O8" s="15">
        <f t="shared" si="4"/>
        <v>0.1</v>
      </c>
      <c r="P8" s="15">
        <f t="shared" si="5"/>
        <v>0.1</v>
      </c>
      <c r="Q8" s="15">
        <f t="shared" si="6"/>
        <v>0.1</v>
      </c>
      <c r="R8" s="15">
        <f t="shared" si="7"/>
        <v>0.1</v>
      </c>
    </row>
    <row r="9" spans="1:29" ht="21" customHeight="1">
      <c r="A9" s="33" t="s">
        <v>497</v>
      </c>
      <c r="B9" s="194"/>
      <c r="C9" s="29"/>
      <c r="D9" s="29"/>
      <c r="E9" s="29"/>
      <c r="F9" s="29"/>
      <c r="G9" s="189">
        <f t="shared" si="0"/>
        <v>0.1</v>
      </c>
      <c r="H9" s="189">
        <f t="shared" si="8"/>
        <v>0</v>
      </c>
      <c r="I9" s="190">
        <f t="shared" si="1"/>
        <v>0</v>
      </c>
      <c r="J9" s="13" t="str">
        <f>IF('Proj Info'!B43=" "," ",'Proj Info'!B43)</f>
        <v/>
      </c>
      <c r="K9" s="17">
        <f>LARGE(M5:M12,5)</f>
        <v>0</v>
      </c>
      <c r="L9" s="17">
        <f>IF(Q14&gt;100,K9-0.1,IF(Q14&lt;100,K9+0.1,K9))</f>
        <v>0.1</v>
      </c>
      <c r="M9" s="18">
        <f t="shared" si="2"/>
        <v>0</v>
      </c>
      <c r="N9" s="15">
        <f t="shared" si="3"/>
        <v>0.1</v>
      </c>
      <c r="O9" s="15">
        <f t="shared" si="4"/>
        <v>0.1</v>
      </c>
      <c r="P9" s="15">
        <f t="shared" si="5"/>
        <v>0.1</v>
      </c>
      <c r="Q9" s="15">
        <f t="shared" si="6"/>
        <v>0.1</v>
      </c>
      <c r="R9" s="15">
        <f t="shared" si="7"/>
        <v>0.1</v>
      </c>
    </row>
    <row r="10" spans="1:29" ht="21" customHeight="1">
      <c r="A10" s="33" t="s">
        <v>498</v>
      </c>
      <c r="B10" s="194"/>
      <c r="C10" s="29"/>
      <c r="D10" s="29"/>
      <c r="E10" s="29"/>
      <c r="F10" s="29"/>
      <c r="G10" s="189">
        <f t="shared" si="0"/>
        <v>0.1</v>
      </c>
      <c r="H10" s="189">
        <f t="shared" si="8"/>
        <v>0</v>
      </c>
      <c r="I10" s="190">
        <f t="shared" si="1"/>
        <v>0</v>
      </c>
      <c r="J10" s="13" t="str">
        <f>IF('Proj Info'!B44=" "," ",'Proj Info'!B44)</f>
        <v/>
      </c>
      <c r="K10" s="17"/>
      <c r="L10" s="17"/>
      <c r="M10" s="18">
        <f t="shared" si="2"/>
        <v>0</v>
      </c>
      <c r="N10" s="15">
        <f t="shared" si="3"/>
        <v>0.1</v>
      </c>
      <c r="O10" s="15">
        <f t="shared" si="4"/>
        <v>0.1</v>
      </c>
      <c r="P10" s="15">
        <f t="shared" si="5"/>
        <v>0.1</v>
      </c>
      <c r="Q10" s="15">
        <f t="shared" si="6"/>
        <v>0.1</v>
      </c>
      <c r="R10" s="15">
        <f t="shared" si="7"/>
        <v>0.1</v>
      </c>
    </row>
    <row r="11" spans="1:29" ht="21" customHeight="1" thickBot="1">
      <c r="A11" s="33" t="s">
        <v>499</v>
      </c>
      <c r="B11" s="194"/>
      <c r="C11" s="29"/>
      <c r="D11" s="36" t="s">
        <v>27</v>
      </c>
      <c r="E11" s="29"/>
      <c r="F11" s="29"/>
      <c r="G11" s="189">
        <f t="shared" si="0"/>
        <v>0.1</v>
      </c>
      <c r="H11" s="189">
        <f t="shared" si="8"/>
        <v>0</v>
      </c>
      <c r="I11" s="190">
        <f t="shared" si="1"/>
        <v>0</v>
      </c>
      <c r="J11" s="13" t="str">
        <f>IF('Proj Info'!B45=" "," ",'Proj Info'!B45)</f>
        <v/>
      </c>
      <c r="K11" s="17"/>
      <c r="L11" s="17"/>
      <c r="M11" s="18">
        <f t="shared" si="2"/>
        <v>0</v>
      </c>
      <c r="N11" s="15">
        <f t="shared" si="3"/>
        <v>0.1</v>
      </c>
      <c r="O11" s="15">
        <f t="shared" si="4"/>
        <v>0.1</v>
      </c>
      <c r="P11" s="15">
        <f t="shared" si="5"/>
        <v>0.1</v>
      </c>
      <c r="Q11" s="15">
        <f t="shared" si="6"/>
        <v>0.1</v>
      </c>
      <c r="R11" s="15">
        <f t="shared" si="7"/>
        <v>0.1</v>
      </c>
    </row>
    <row r="12" spans="1:29" ht="21" customHeight="1" thickBot="1">
      <c r="A12" s="33" t="s">
        <v>39</v>
      </c>
      <c r="B12" s="187"/>
      <c r="C12" s="29"/>
      <c r="D12" s="192">
        <f>IF(B12="",0,SUM(B5:B12))</f>
        <v>0</v>
      </c>
      <c r="E12" s="29"/>
      <c r="F12" s="29"/>
      <c r="G12" s="189">
        <f t="shared" si="0"/>
        <v>0.1</v>
      </c>
      <c r="H12" s="37"/>
      <c r="I12" s="37"/>
      <c r="J12" s="210"/>
      <c r="K12" s="17"/>
      <c r="L12" s="17"/>
      <c r="M12" s="18">
        <f t="shared" si="2"/>
        <v>0</v>
      </c>
      <c r="N12" s="15">
        <f t="shared" si="3"/>
        <v>0.1</v>
      </c>
      <c r="O12" s="15">
        <f t="shared" si="4"/>
        <v>0.1</v>
      </c>
      <c r="P12" s="15">
        <f t="shared" si="5"/>
        <v>0.1</v>
      </c>
      <c r="Q12" s="15">
        <f t="shared" si="6"/>
        <v>0.1</v>
      </c>
      <c r="R12" s="15">
        <f t="shared" si="7"/>
        <v>0.1</v>
      </c>
      <c r="T12" s="47" t="s">
        <v>89</v>
      </c>
      <c r="U12" s="45"/>
      <c r="V12" s="45"/>
      <c r="W12" s="45"/>
      <c r="X12" s="48"/>
      <c r="Y12" s="48"/>
      <c r="Z12" s="45"/>
      <c r="AA12" s="92"/>
      <c r="AB12" s="92"/>
      <c r="AC12" s="93"/>
    </row>
    <row r="13" spans="1:29" ht="21" customHeight="1" thickBot="1">
      <c r="A13" s="509" t="s">
        <v>500</v>
      </c>
      <c r="B13" s="195"/>
      <c r="C13" s="37" t="s">
        <v>37</v>
      </c>
      <c r="D13" s="29"/>
      <c r="E13" s="29"/>
      <c r="F13" s="29"/>
      <c r="G13" s="189">
        <f>SUM(G5:G12)</f>
        <v>0.79999999999999993</v>
      </c>
      <c r="H13" s="191"/>
      <c r="I13" s="191"/>
      <c r="J13" s="210"/>
      <c r="K13" s="14"/>
      <c r="L13" s="14"/>
      <c r="M13" s="16"/>
      <c r="N13" s="17"/>
      <c r="O13" s="19"/>
      <c r="P13" s="19"/>
      <c r="Q13" s="19"/>
      <c r="R13" s="19"/>
      <c r="U13" s="66"/>
      <c r="V13" s="66"/>
      <c r="W13" s="66"/>
      <c r="X13" s="94"/>
      <c r="Y13" s="94"/>
      <c r="Z13" s="66"/>
      <c r="AA13" s="66"/>
      <c r="AB13" s="66"/>
    </row>
    <row r="14" spans="1:29" ht="21" customHeight="1" thickTop="1">
      <c r="A14" s="510" t="s">
        <v>501</v>
      </c>
      <c r="B14" s="196"/>
      <c r="C14" s="37" t="s">
        <v>38</v>
      </c>
      <c r="D14" s="29"/>
      <c r="E14" s="29"/>
      <c r="F14" s="29"/>
      <c r="G14" s="191"/>
      <c r="H14" s="38" t="s">
        <v>17</v>
      </c>
      <c r="I14" s="188">
        <f>ROUND(IF(B17=0,0,SUM(B17/B13)*100),1)</f>
        <v>0</v>
      </c>
      <c r="J14" s="13" t="str">
        <f>IF('Proj Info'!B46=" "," ",'Proj Info'!B46)</f>
        <v>0-2.5</v>
      </c>
      <c r="K14" s="14"/>
      <c r="L14" s="17"/>
      <c r="M14" s="17">
        <f t="shared" ref="M14:R14" si="9">ROUND(IF(M12="",0,SUM(M5:M12)),1)</f>
        <v>0</v>
      </c>
      <c r="N14" s="17">
        <f t="shared" si="9"/>
        <v>0.8</v>
      </c>
      <c r="O14" s="17">
        <f t="shared" si="9"/>
        <v>0.8</v>
      </c>
      <c r="P14" s="17">
        <f t="shared" si="9"/>
        <v>0.8</v>
      </c>
      <c r="Q14" s="17">
        <f t="shared" si="9"/>
        <v>0.8</v>
      </c>
      <c r="R14" s="17">
        <f t="shared" si="9"/>
        <v>0.8</v>
      </c>
      <c r="T14" s="67"/>
      <c r="U14" s="68" t="s">
        <v>13</v>
      </c>
      <c r="V14" s="68" t="s">
        <v>14</v>
      </c>
      <c r="W14" s="68" t="s">
        <v>15</v>
      </c>
      <c r="X14" s="68"/>
      <c r="Y14" s="68" t="s">
        <v>77</v>
      </c>
      <c r="Z14" s="68" t="s">
        <v>78</v>
      </c>
      <c r="AA14" s="68" t="s">
        <v>78</v>
      </c>
      <c r="AB14" s="68" t="s">
        <v>78</v>
      </c>
      <c r="AC14" s="69"/>
    </row>
    <row r="15" spans="1:29" ht="21" customHeight="1">
      <c r="A15" s="33" t="s">
        <v>39</v>
      </c>
      <c r="B15" s="187"/>
      <c r="C15" s="37" t="s">
        <v>40</v>
      </c>
      <c r="D15" s="29"/>
      <c r="E15" s="29"/>
      <c r="F15" s="29"/>
      <c r="G15" s="184"/>
      <c r="H15" s="191"/>
      <c r="I15" s="191"/>
      <c r="J15" s="210"/>
      <c r="K15" s="14"/>
      <c r="L15" s="14"/>
      <c r="M15" s="14"/>
      <c r="N15" s="14"/>
      <c r="O15" s="14"/>
      <c r="P15" s="14"/>
      <c r="Q15" s="14"/>
      <c r="R15" s="14"/>
      <c r="T15" s="70" t="s">
        <v>79</v>
      </c>
      <c r="U15" s="71" t="s">
        <v>16</v>
      </c>
      <c r="V15" s="71" t="s">
        <v>16</v>
      </c>
      <c r="W15" s="71" t="s">
        <v>16</v>
      </c>
      <c r="X15" s="71"/>
      <c r="Y15" s="71" t="s">
        <v>80</v>
      </c>
      <c r="Z15" s="71" t="s">
        <v>81</v>
      </c>
      <c r="AA15" s="71" t="s">
        <v>82</v>
      </c>
      <c r="AB15" s="71" t="s">
        <v>83</v>
      </c>
      <c r="AC15" s="72" t="s">
        <v>84</v>
      </c>
    </row>
    <row r="16" spans="1:29" ht="21" customHeight="1">
      <c r="A16" s="33" t="s">
        <v>41</v>
      </c>
      <c r="B16" s="188">
        <f>IF(B14="",0,SUM(B13-B14))</f>
        <v>0</v>
      </c>
      <c r="C16" s="37" t="s">
        <v>42</v>
      </c>
      <c r="D16" s="29"/>
      <c r="E16" s="21"/>
      <c r="F16" s="29"/>
      <c r="G16" s="29"/>
      <c r="H16" s="29"/>
      <c r="I16" s="29"/>
      <c r="J16" s="2"/>
      <c r="K16" s="14"/>
      <c r="L16" s="14"/>
      <c r="M16" s="14"/>
      <c r="N16" s="14"/>
      <c r="O16" s="14"/>
      <c r="P16" s="14"/>
      <c r="Q16" s="14"/>
      <c r="R16" s="14"/>
      <c r="T16" s="70" t="s">
        <v>85</v>
      </c>
      <c r="U16" s="71" t="s">
        <v>70</v>
      </c>
      <c r="V16" s="71" t="s">
        <v>70</v>
      </c>
      <c r="W16" s="71" t="s">
        <v>70</v>
      </c>
      <c r="X16" s="71"/>
      <c r="Y16" s="71" t="s">
        <v>86</v>
      </c>
      <c r="Z16" s="71" t="s">
        <v>86</v>
      </c>
      <c r="AA16" s="71" t="s">
        <v>86</v>
      </c>
      <c r="AB16" s="71" t="s">
        <v>86</v>
      </c>
      <c r="AC16" s="73" t="s">
        <v>81</v>
      </c>
    </row>
    <row r="17" spans="1:31" ht="21" customHeight="1" thickBot="1">
      <c r="A17" s="33" t="s">
        <v>43</v>
      </c>
      <c r="B17" s="197">
        <f>IF(B15="",0,SUM(B15:B16))</f>
        <v>0</v>
      </c>
      <c r="C17" s="29"/>
      <c r="D17" s="29"/>
      <c r="E17" s="21"/>
      <c r="F17" s="29"/>
      <c r="G17" s="29"/>
      <c r="H17" s="29"/>
      <c r="I17" s="29"/>
      <c r="J17" s="2"/>
      <c r="K17" s="14"/>
      <c r="L17" s="14"/>
      <c r="M17" s="14"/>
      <c r="N17" s="14"/>
      <c r="O17" s="14"/>
      <c r="P17" s="14"/>
      <c r="Q17" s="14"/>
      <c r="R17" s="14"/>
      <c r="T17" s="74"/>
      <c r="U17" s="75" t="s">
        <v>87</v>
      </c>
      <c r="V17" s="75" t="s">
        <v>87</v>
      </c>
      <c r="W17" s="75" t="s">
        <v>87</v>
      </c>
      <c r="X17" s="75"/>
      <c r="Y17" s="75" t="s">
        <v>87</v>
      </c>
      <c r="Z17" s="75" t="s">
        <v>87</v>
      </c>
      <c r="AA17" s="75" t="s">
        <v>87</v>
      </c>
      <c r="AB17" s="75" t="s">
        <v>87</v>
      </c>
      <c r="AC17" s="76"/>
    </row>
    <row r="18" spans="1:31" ht="21" customHeight="1" thickTop="1">
      <c r="A18" s="33" t="s">
        <v>502</v>
      </c>
      <c r="B18" s="43"/>
      <c r="C18" s="29"/>
      <c r="D18" s="29"/>
      <c r="E18" s="21"/>
      <c r="F18" s="29"/>
      <c r="G18" s="29"/>
      <c r="H18" s="29"/>
      <c r="I18" s="29"/>
      <c r="J18" s="2"/>
      <c r="K18" s="14"/>
      <c r="L18" s="14"/>
      <c r="M18" s="14"/>
      <c r="N18" s="14"/>
      <c r="O18" s="14"/>
      <c r="P18" s="14"/>
      <c r="Q18" s="14"/>
      <c r="R18" s="14"/>
      <c r="T18" s="77"/>
      <c r="U18" s="78"/>
      <c r="V18" s="78"/>
      <c r="W18" s="78"/>
      <c r="X18" s="79"/>
      <c r="Y18" s="79"/>
      <c r="Z18" s="80"/>
      <c r="AA18" s="56"/>
      <c r="AB18" s="56"/>
      <c r="AC18" s="81"/>
    </row>
    <row r="19" spans="1:31" ht="21" customHeight="1">
      <c r="A19" s="39"/>
      <c r="B19" s="39"/>
      <c r="C19" s="39"/>
      <c r="D19" s="39"/>
      <c r="E19" s="39"/>
      <c r="F19" s="39"/>
      <c r="G19" s="39"/>
      <c r="H19" s="39"/>
      <c r="I19" s="39"/>
      <c r="J19" s="2"/>
      <c r="K19" s="14"/>
      <c r="L19" s="14"/>
      <c r="M19" s="14"/>
      <c r="N19" s="14"/>
      <c r="O19" s="14"/>
      <c r="P19" s="14"/>
      <c r="Q19" s="14"/>
      <c r="R19" s="14"/>
      <c r="T19" s="82" t="s">
        <v>88</v>
      </c>
      <c r="U19" s="83">
        <f>'Grad 2'!I5</f>
        <v>0</v>
      </c>
      <c r="V19" s="83">
        <f>'Grad 2'!I22</f>
        <v>0</v>
      </c>
      <c r="W19" s="83">
        <v>100</v>
      </c>
      <c r="X19" s="84" t="str">
        <f>IF($B$4=0," ",IF($B$20=" ",U19*$Z$5+W19*$Z$7,U19*$Z$5+V19*$Z$6+W19*Z$7))</f>
        <v xml:space="preserve"> </v>
      </c>
      <c r="Y19" s="519" t="str">
        <f>X19</f>
        <v xml:space="preserve"> </v>
      </c>
      <c r="Z19" s="83">
        <f>'Grad 1'!Z19</f>
        <v>100</v>
      </c>
      <c r="AA19" s="101">
        <f t="shared" ref="AA19:AA24" si="10">IF((Z19-5)&gt;0,Z19-5,0)</f>
        <v>95</v>
      </c>
      <c r="AB19" s="101">
        <f t="shared" ref="AB19:AB24" si="11">IF(Z19+5&gt;100,100,Z19+5)</f>
        <v>100</v>
      </c>
      <c r="AC19" s="81" t="str">
        <f t="shared" ref="AC19:AC30" si="12">IF(AND(AA19&lt;=X19,X19&lt;=AB19),"Yes","No")</f>
        <v>No</v>
      </c>
      <c r="AD19" s="100">
        <f>IF(AC19="YES",1,0)</f>
        <v>0</v>
      </c>
      <c r="AE19" t="str">
        <f>CONCATENATE(AA19,"-",AB19)</f>
        <v>95-100</v>
      </c>
    </row>
    <row r="20" spans="1:31" ht="21" customHeight="1">
      <c r="A20" s="25" t="s">
        <v>503</v>
      </c>
      <c r="B20" s="26"/>
      <c r="C20" s="27"/>
      <c r="D20" s="28"/>
      <c r="E20" s="29"/>
      <c r="F20" s="29"/>
      <c r="G20" s="10" t="s">
        <v>44</v>
      </c>
      <c r="H20" s="30"/>
      <c r="I20" s="29"/>
      <c r="J20" s="2"/>
      <c r="K20" s="14"/>
      <c r="L20" s="14"/>
      <c r="M20" s="14"/>
      <c r="N20" s="14"/>
      <c r="O20" s="14"/>
      <c r="P20" s="14"/>
      <c r="Q20" s="14"/>
      <c r="R20" s="14"/>
      <c r="T20" s="82" t="s">
        <v>59</v>
      </c>
      <c r="U20" s="83">
        <f>'Grad 2'!I6</f>
        <v>0</v>
      </c>
      <c r="V20" s="83">
        <f>'Grad 2'!I23</f>
        <v>0</v>
      </c>
      <c r="W20" s="83">
        <v>100</v>
      </c>
      <c r="X20" s="84" t="str">
        <f t="shared" ref="X20:X30" si="13">IF($B$4=0," ",IF($B$20=" ",U20*$Z$5+W20*$Z$7,U20*$Z$5+V20*$Z$6+W20*Z$7))</f>
        <v xml:space="preserve"> </v>
      </c>
      <c r="Y20" s="519" t="str">
        <f t="shared" ref="Y20:Y30" si="14">X20</f>
        <v xml:space="preserve"> </v>
      </c>
      <c r="Z20" s="83">
        <f>'Grad 1'!Z20</f>
        <v>0</v>
      </c>
      <c r="AA20" s="101">
        <f t="shared" si="10"/>
        <v>0</v>
      </c>
      <c r="AB20" s="101">
        <f t="shared" si="11"/>
        <v>5</v>
      </c>
      <c r="AC20" s="81" t="str">
        <f t="shared" si="12"/>
        <v>No</v>
      </c>
      <c r="AD20" s="100">
        <f t="shared" ref="AD20:AD30" si="15">IF(AC20="YES",1,0)</f>
        <v>0</v>
      </c>
      <c r="AE20" t="str">
        <f t="shared" ref="AE20:AE30" si="16">CONCATENATE(AA20,"-",AB20)</f>
        <v>0-5</v>
      </c>
    </row>
    <row r="21" spans="1:31" ht="21" customHeight="1" thickBot="1">
      <c r="A21" s="511" t="s">
        <v>500</v>
      </c>
      <c r="B21" s="193"/>
      <c r="C21" s="569" t="s">
        <v>31</v>
      </c>
      <c r="D21" s="573"/>
      <c r="E21" s="185">
        <f>ROUND(IF(D29=0,0,SUM(D29/B21)*100),1)</f>
        <v>0</v>
      </c>
      <c r="F21" s="31" t="s">
        <v>32</v>
      </c>
      <c r="G21" s="32" t="s">
        <v>33</v>
      </c>
      <c r="H21" s="32" t="s">
        <v>34</v>
      </c>
      <c r="I21" s="32" t="s">
        <v>35</v>
      </c>
      <c r="J21" s="13" t="s">
        <v>36</v>
      </c>
      <c r="K21" s="14"/>
      <c r="L21" s="14"/>
      <c r="M21" s="15" t="s">
        <v>33</v>
      </c>
      <c r="N21" s="15">
        <v>1</v>
      </c>
      <c r="O21" s="16">
        <v>2</v>
      </c>
      <c r="P21" s="16">
        <v>3</v>
      </c>
      <c r="Q21" s="17">
        <v>4</v>
      </c>
      <c r="R21" s="17">
        <v>5</v>
      </c>
      <c r="T21" s="82" t="s">
        <v>60</v>
      </c>
      <c r="U21" s="83">
        <f>'Grad 2'!I7</f>
        <v>0</v>
      </c>
      <c r="V21" s="83">
        <f>'Grad 2'!I24</f>
        <v>0</v>
      </c>
      <c r="W21" s="83">
        <v>100</v>
      </c>
      <c r="X21" s="84" t="str">
        <f t="shared" si="13"/>
        <v xml:space="preserve"> </v>
      </c>
      <c r="Y21" s="519" t="str">
        <f t="shared" si="14"/>
        <v xml:space="preserve"> </v>
      </c>
      <c r="Z21" s="83">
        <f>'Grad 1'!Z21</f>
        <v>0</v>
      </c>
      <c r="AA21" s="101">
        <f t="shared" si="10"/>
        <v>0</v>
      </c>
      <c r="AB21" s="101">
        <f t="shared" si="11"/>
        <v>5</v>
      </c>
      <c r="AC21" s="81" t="str">
        <f t="shared" si="12"/>
        <v>No</v>
      </c>
      <c r="AD21" s="100">
        <f t="shared" si="15"/>
        <v>0</v>
      </c>
      <c r="AE21" t="str">
        <f t="shared" si="16"/>
        <v>0-5</v>
      </c>
    </row>
    <row r="22" spans="1:31" ht="21" customHeight="1">
      <c r="A22" s="33" t="s">
        <v>493</v>
      </c>
      <c r="B22" s="194"/>
      <c r="C22" s="29"/>
      <c r="D22" s="574" t="str">
        <f>IF(E21&lt;5,"",IF(E21&lt;99.5,"Check Weights.",IF(E21&gt;100.5,"Check Weights","")))</f>
        <v/>
      </c>
      <c r="E22" s="575"/>
      <c r="F22" s="35"/>
      <c r="G22" s="189">
        <f>IF($M$22=100,$M22,IF($N$22=100,$N22,IF($O$22=100,$O22,IF($P$22=100,$P22,IF($Q$22=100,$Q22,IF($R$22=100,$R22,$R22))))))</f>
        <v>0.1</v>
      </c>
      <c r="H22" s="189">
        <f>IF(D29=0,0,100)</f>
        <v>0</v>
      </c>
      <c r="I22" s="190">
        <f t="shared" ref="I22:I28" si="17">IF(H22&gt;9.9,ROUND(H22,0),ROUND(H22,1))</f>
        <v>0</v>
      </c>
      <c r="J22" s="199"/>
      <c r="K22" s="17">
        <f>LARGE(M22:M29,1)</f>
        <v>0</v>
      </c>
      <c r="L22" s="17">
        <f>IF(M31&lt;100,(K22+0.1),IF(M31&gt;100,(K22-0.1),K22))</f>
        <v>0.1</v>
      </c>
      <c r="M22" s="18">
        <f>ROUND(IF(B22="",0,SUM(B22/$B$21)*100),1)</f>
        <v>0</v>
      </c>
      <c r="N22" s="15">
        <f>IF(M22=$K$22,$L$22,M22)</f>
        <v>0.1</v>
      </c>
      <c r="O22" s="15">
        <f>IF(N22=K$23,L$23,N22)</f>
        <v>0.1</v>
      </c>
      <c r="P22" s="15">
        <f>IF(O22=K$24,L$24,O22)</f>
        <v>0.1</v>
      </c>
      <c r="Q22" s="15">
        <f>IF(P22=K$25,L$25,P22)</f>
        <v>0.1</v>
      </c>
      <c r="R22" s="15">
        <f>IF(Q22=K$26,L$26,Q22)</f>
        <v>0.1</v>
      </c>
      <c r="T22" s="82" t="s">
        <v>61</v>
      </c>
      <c r="U22" s="83">
        <f>'Grad 2'!I8</f>
        <v>0</v>
      </c>
      <c r="V22" s="83">
        <f>'Grad 2'!I25</f>
        <v>0</v>
      </c>
      <c r="W22" s="83">
        <f>'Grad 2'!I41</f>
        <v>0</v>
      </c>
      <c r="X22" s="84" t="str">
        <f t="shared" si="13"/>
        <v xml:space="preserve"> </v>
      </c>
      <c r="Y22" s="519" t="str">
        <f t="shared" si="14"/>
        <v xml:space="preserve"> </v>
      </c>
      <c r="Z22" s="83">
        <f>'Grad 1'!Z22</f>
        <v>0</v>
      </c>
      <c r="AA22" s="101">
        <f t="shared" si="10"/>
        <v>0</v>
      </c>
      <c r="AB22" s="101">
        <f t="shared" si="11"/>
        <v>5</v>
      </c>
      <c r="AC22" s="81" t="str">
        <f t="shared" si="12"/>
        <v>No</v>
      </c>
      <c r="AD22" s="100">
        <f t="shared" si="15"/>
        <v>0</v>
      </c>
      <c r="AE22" t="str">
        <f t="shared" si="16"/>
        <v>0-5</v>
      </c>
    </row>
    <row r="23" spans="1:31" ht="21" customHeight="1">
      <c r="A23" s="33" t="s">
        <v>494</v>
      </c>
      <c r="B23" s="194"/>
      <c r="C23" s="29"/>
      <c r="D23" s="31"/>
      <c r="E23" s="29"/>
      <c r="F23" s="29"/>
      <c r="G23" s="189">
        <f>IF($M$23=100,$M23,IF($N$23=100,$N23,IF($O$23=100,$O23,IF($P$23=100,$P23,IF($Q$23=100,$Q23,IF($R$23=100,$R23,$R23))))))</f>
        <v>0.1</v>
      </c>
      <c r="H23" s="189">
        <f t="shared" ref="H23:H28" si="18">IF(H22=0,0,(H22-G23))</f>
        <v>0</v>
      </c>
      <c r="I23" s="190">
        <f t="shared" si="17"/>
        <v>0</v>
      </c>
      <c r="J23" s="199"/>
      <c r="K23" s="17">
        <f>LARGE(M22:M29,2)</f>
        <v>0</v>
      </c>
      <c r="L23" s="17">
        <f>IF(N31&gt;100,K23-0.1,IF(N31&lt;100,K23+0.1,K23))</f>
        <v>0.1</v>
      </c>
      <c r="M23" s="18">
        <f t="shared" ref="M23:M29" si="19">ROUND(IF(B23="",0,SUM(B23/$B$21)*100),1)</f>
        <v>0</v>
      </c>
      <c r="N23" s="15">
        <f t="shared" ref="N23:N29" si="20">IF(M23=$K$22,$L$22,M23)</f>
        <v>0.1</v>
      </c>
      <c r="O23" s="15">
        <f t="shared" ref="O23:O29" si="21">IF(N23=K$23,L$23,N23)</f>
        <v>0.1</v>
      </c>
      <c r="P23" s="15">
        <f t="shared" ref="P23:P29" si="22">IF(O23=K$24,L$24,O23)</f>
        <v>0.1</v>
      </c>
      <c r="Q23" s="15">
        <f t="shared" ref="Q23:Q29" si="23">IF(P23=K$25,L$25,P23)</f>
        <v>0.1</v>
      </c>
      <c r="R23" s="15">
        <f t="shared" ref="R23:R29" si="24">IF(Q23=K$26,L$26,Q23)</f>
        <v>0.1</v>
      </c>
      <c r="T23" s="82" t="s">
        <v>62</v>
      </c>
      <c r="U23" s="83">
        <f>'Grad 2'!I9</f>
        <v>0</v>
      </c>
      <c r="V23" s="83">
        <f>'Grad 2'!I26</f>
        <v>0</v>
      </c>
      <c r="W23" s="83">
        <f>'Grad 2'!I42</f>
        <v>0</v>
      </c>
      <c r="X23" s="84" t="str">
        <f t="shared" si="13"/>
        <v xml:space="preserve"> </v>
      </c>
      <c r="Y23" s="519" t="str">
        <f t="shared" si="14"/>
        <v xml:space="preserve"> </v>
      </c>
      <c r="Z23" s="83">
        <f>'Grad 1'!Z23</f>
        <v>0</v>
      </c>
      <c r="AA23" s="101">
        <f t="shared" si="10"/>
        <v>0</v>
      </c>
      <c r="AB23" s="101">
        <f t="shared" si="11"/>
        <v>5</v>
      </c>
      <c r="AC23" s="81" t="str">
        <f t="shared" si="12"/>
        <v>No</v>
      </c>
      <c r="AD23" s="100">
        <f t="shared" si="15"/>
        <v>0</v>
      </c>
      <c r="AE23" t="str">
        <f t="shared" si="16"/>
        <v>0-5</v>
      </c>
    </row>
    <row r="24" spans="1:31" ht="21" customHeight="1">
      <c r="A24" s="33" t="s">
        <v>495</v>
      </c>
      <c r="B24" s="194"/>
      <c r="C24" s="29"/>
      <c r="D24" s="29"/>
      <c r="E24" s="29"/>
      <c r="F24" s="29"/>
      <c r="G24" s="189">
        <f t="shared" ref="G24:G29" si="25">IF($M$14=100,$M24,IF($N$14=100,$N24,IF($O$14=100,$O24,IF($P$14=100,$P24,IF($Q$14=100,$Q24,IF($R$14=100,$R24,$R24))))))</f>
        <v>0.1</v>
      </c>
      <c r="H24" s="189">
        <f t="shared" si="18"/>
        <v>0</v>
      </c>
      <c r="I24" s="190">
        <f t="shared" si="17"/>
        <v>0</v>
      </c>
      <c r="J24" s="554" t="str">
        <f>IF('Proj Info'!B47=" "," ",'Proj Info'!B47)</f>
        <v>100</v>
      </c>
      <c r="K24" s="17">
        <f>LARGE(M22:M29,3)</f>
        <v>0</v>
      </c>
      <c r="L24" s="17">
        <f>IF(O31&gt;100,K24-0.1,IF(O31&lt;100,K24+0.1,K24))</f>
        <v>0.1</v>
      </c>
      <c r="M24" s="18">
        <f t="shared" si="19"/>
        <v>0</v>
      </c>
      <c r="N24" s="15">
        <f t="shared" si="20"/>
        <v>0.1</v>
      </c>
      <c r="O24" s="15">
        <f t="shared" si="21"/>
        <v>0.1</v>
      </c>
      <c r="P24" s="15">
        <f t="shared" si="22"/>
        <v>0.1</v>
      </c>
      <c r="Q24" s="15">
        <f t="shared" si="23"/>
        <v>0.1</v>
      </c>
      <c r="R24" s="15">
        <f t="shared" si="24"/>
        <v>0.1</v>
      </c>
      <c r="T24" s="82" t="s">
        <v>63</v>
      </c>
      <c r="U24" s="83">
        <f>'Grad 2'!I10</f>
        <v>0</v>
      </c>
      <c r="V24" s="83">
        <f>'Grad 2'!I27</f>
        <v>0</v>
      </c>
      <c r="W24" s="83">
        <f>'Grad 2'!I43</f>
        <v>0</v>
      </c>
      <c r="X24" s="84" t="str">
        <f t="shared" si="13"/>
        <v xml:space="preserve"> </v>
      </c>
      <c r="Y24" s="519" t="str">
        <f t="shared" si="14"/>
        <v xml:space="preserve"> </v>
      </c>
      <c r="Z24" s="83">
        <f>'Grad 1'!Z24</f>
        <v>0</v>
      </c>
      <c r="AA24" s="101">
        <f t="shared" si="10"/>
        <v>0</v>
      </c>
      <c r="AB24" s="101">
        <f t="shared" si="11"/>
        <v>5</v>
      </c>
      <c r="AC24" s="81" t="str">
        <f t="shared" si="12"/>
        <v>No</v>
      </c>
      <c r="AD24" s="100">
        <f t="shared" si="15"/>
        <v>0</v>
      </c>
      <c r="AE24" t="str">
        <f t="shared" si="16"/>
        <v>0-5</v>
      </c>
    </row>
    <row r="25" spans="1:31" ht="21" customHeight="1">
      <c r="A25" s="33" t="s">
        <v>496</v>
      </c>
      <c r="B25" s="194"/>
      <c r="C25" s="29"/>
      <c r="D25" s="29"/>
      <c r="E25" s="29"/>
      <c r="F25" s="29"/>
      <c r="G25" s="189">
        <f t="shared" si="25"/>
        <v>0.1</v>
      </c>
      <c r="H25" s="189">
        <f t="shared" si="18"/>
        <v>0</v>
      </c>
      <c r="I25" s="190">
        <f t="shared" si="17"/>
        <v>0</v>
      </c>
      <c r="J25" s="554" t="str">
        <f>IF('Proj Info'!B48=" "," ",'Proj Info'!B48)</f>
        <v>90-100</v>
      </c>
      <c r="K25" s="17">
        <f>LARGE(M22:M29,4)</f>
        <v>0</v>
      </c>
      <c r="L25" s="17">
        <f>IF(P31&gt;100,K25-0.1,IF(P31&lt;100,K25+0.1,K25))</f>
        <v>0.1</v>
      </c>
      <c r="M25" s="18">
        <f t="shared" si="19"/>
        <v>0</v>
      </c>
      <c r="N25" s="15">
        <f t="shared" si="20"/>
        <v>0.1</v>
      </c>
      <c r="O25" s="15">
        <f t="shared" si="21"/>
        <v>0.1</v>
      </c>
      <c r="P25" s="15">
        <f t="shared" si="22"/>
        <v>0.1</v>
      </c>
      <c r="Q25" s="15">
        <f t="shared" si="23"/>
        <v>0.1</v>
      </c>
      <c r="R25" s="15">
        <f t="shared" si="24"/>
        <v>0.1</v>
      </c>
      <c r="T25" s="82" t="s">
        <v>64</v>
      </c>
      <c r="U25" s="83">
        <f>'Grad 2'!I11</f>
        <v>0</v>
      </c>
      <c r="V25" s="83">
        <f>'Grad 2'!I28</f>
        <v>0</v>
      </c>
      <c r="W25" s="83">
        <f>'Grad 2'!I44</f>
        <v>0</v>
      </c>
      <c r="X25" s="84" t="str">
        <f t="shared" si="13"/>
        <v xml:space="preserve"> </v>
      </c>
      <c r="Y25" s="519" t="str">
        <f t="shared" si="14"/>
        <v xml:space="preserve"> </v>
      </c>
      <c r="Z25" s="83">
        <f>'Grad 1'!Z25</f>
        <v>0</v>
      </c>
      <c r="AA25" s="101">
        <f>IF((Z25-4)&gt;0,Z25-4,0)</f>
        <v>0</v>
      </c>
      <c r="AB25" s="101">
        <f>Z25+4</f>
        <v>4</v>
      </c>
      <c r="AC25" s="81" t="str">
        <f t="shared" si="12"/>
        <v>No</v>
      </c>
      <c r="AD25" s="100">
        <f t="shared" si="15"/>
        <v>0</v>
      </c>
      <c r="AE25" t="str">
        <f t="shared" si="16"/>
        <v>0-4</v>
      </c>
    </row>
    <row r="26" spans="1:31" ht="21" customHeight="1">
      <c r="A26" s="33" t="s">
        <v>497</v>
      </c>
      <c r="B26" s="194"/>
      <c r="C26" s="29"/>
      <c r="D26" s="29"/>
      <c r="E26" s="29"/>
      <c r="F26" s="29"/>
      <c r="G26" s="189">
        <f t="shared" si="25"/>
        <v>0.1</v>
      </c>
      <c r="H26" s="189">
        <f t="shared" si="18"/>
        <v>0</v>
      </c>
      <c r="I26" s="190">
        <f t="shared" si="17"/>
        <v>0</v>
      </c>
      <c r="J26" s="554" t="str">
        <f>IF('Proj Info'!B49=" "," ",'Proj Info'!B49)</f>
        <v>40-90</v>
      </c>
      <c r="K26" s="17">
        <f>LARGE(M22:M29,5)</f>
        <v>0</v>
      </c>
      <c r="L26" s="17">
        <f>IF(Q31&gt;100,K26-0.1,IF(Q31&lt;100,K26+0.1,K26))</f>
        <v>0.1</v>
      </c>
      <c r="M26" s="18">
        <f t="shared" si="19"/>
        <v>0</v>
      </c>
      <c r="N26" s="15">
        <f t="shared" si="20"/>
        <v>0.1</v>
      </c>
      <c r="O26" s="15">
        <f t="shared" si="21"/>
        <v>0.1</v>
      </c>
      <c r="P26" s="15">
        <f t="shared" si="22"/>
        <v>0.1</v>
      </c>
      <c r="Q26" s="15">
        <f t="shared" si="23"/>
        <v>0.1</v>
      </c>
      <c r="R26" s="15">
        <f t="shared" si="24"/>
        <v>0.1</v>
      </c>
      <c r="T26" s="82" t="s">
        <v>65</v>
      </c>
      <c r="U26" s="86">
        <f>U25-($U$25-$U$30)/5</f>
        <v>0</v>
      </c>
      <c r="V26" s="86">
        <f>V25-($V$25-$V$30)/5</f>
        <v>0</v>
      </c>
      <c r="W26" s="83">
        <f>'Grad 2'!I45</f>
        <v>0</v>
      </c>
      <c r="X26" s="84" t="str">
        <f t="shared" si="13"/>
        <v xml:space="preserve"> </v>
      </c>
      <c r="Y26" s="519" t="str">
        <f t="shared" si="14"/>
        <v xml:space="preserve"> </v>
      </c>
      <c r="Z26" s="83">
        <f>'Grad 1'!Z26</f>
        <v>0</v>
      </c>
      <c r="AA26" s="101">
        <f>IF((Z26-4)&gt;0,Z26-4,0)</f>
        <v>0</v>
      </c>
      <c r="AB26" s="101">
        <f>Z26+4</f>
        <v>4</v>
      </c>
      <c r="AC26" s="81" t="str">
        <f t="shared" si="12"/>
        <v>No</v>
      </c>
      <c r="AD26" s="100">
        <f t="shared" si="15"/>
        <v>0</v>
      </c>
      <c r="AE26" t="str">
        <f t="shared" si="16"/>
        <v>0-4</v>
      </c>
    </row>
    <row r="27" spans="1:31" ht="21" customHeight="1">
      <c r="A27" s="33" t="s">
        <v>498</v>
      </c>
      <c r="B27" s="194"/>
      <c r="C27" s="29"/>
      <c r="D27" s="29"/>
      <c r="E27" s="29"/>
      <c r="F27" s="29"/>
      <c r="G27" s="189">
        <f t="shared" si="25"/>
        <v>0.1</v>
      </c>
      <c r="H27" s="189">
        <f t="shared" si="18"/>
        <v>0</v>
      </c>
      <c r="I27" s="190">
        <f t="shared" si="17"/>
        <v>0</v>
      </c>
      <c r="J27" s="554" t="str">
        <f>IF('Proj Info'!B50=" "," ",'Proj Info'!B50)</f>
        <v>0-30</v>
      </c>
      <c r="K27" s="17"/>
      <c r="L27" s="17"/>
      <c r="M27" s="18">
        <f t="shared" si="19"/>
        <v>0</v>
      </c>
      <c r="N27" s="15">
        <f t="shared" si="20"/>
        <v>0.1</v>
      </c>
      <c r="O27" s="15">
        <f t="shared" si="21"/>
        <v>0.1</v>
      </c>
      <c r="P27" s="15">
        <f t="shared" si="22"/>
        <v>0.1</v>
      </c>
      <c r="Q27" s="15">
        <f t="shared" si="23"/>
        <v>0.1</v>
      </c>
      <c r="R27" s="15">
        <f t="shared" si="24"/>
        <v>0.1</v>
      </c>
      <c r="T27" s="82" t="s">
        <v>66</v>
      </c>
      <c r="U27" s="86">
        <f>U26-($U$25-$U$30)/5</f>
        <v>0</v>
      </c>
      <c r="V27" s="86">
        <f>V26-($V$25-$V$30)/5</f>
        <v>0</v>
      </c>
      <c r="W27" s="83">
        <f>'Grad 2'!I46</f>
        <v>0</v>
      </c>
      <c r="X27" s="84" t="str">
        <f t="shared" si="13"/>
        <v xml:space="preserve"> </v>
      </c>
      <c r="Y27" s="519" t="str">
        <f t="shared" si="14"/>
        <v xml:space="preserve"> </v>
      </c>
      <c r="Z27" s="83">
        <f>'Grad 1'!Z27</f>
        <v>0</v>
      </c>
      <c r="AA27" s="101">
        <f>IF((Z27-4)&gt;0,Z27-4,0)</f>
        <v>0</v>
      </c>
      <c r="AB27" s="101">
        <f>Z27+4</f>
        <v>4</v>
      </c>
      <c r="AC27" s="81" t="str">
        <f t="shared" si="12"/>
        <v>No</v>
      </c>
      <c r="AD27" s="100">
        <f t="shared" si="15"/>
        <v>0</v>
      </c>
      <c r="AE27" t="str">
        <f t="shared" si="16"/>
        <v>0-4</v>
      </c>
    </row>
    <row r="28" spans="1:31" ht="21" customHeight="1" thickBot="1">
      <c r="A28" s="33" t="s">
        <v>499</v>
      </c>
      <c r="B28" s="194"/>
      <c r="C28" s="29"/>
      <c r="D28" s="36" t="s">
        <v>27</v>
      </c>
      <c r="E28" s="29"/>
      <c r="F28" s="29"/>
      <c r="G28" s="189">
        <f t="shared" si="25"/>
        <v>0.1</v>
      </c>
      <c r="H28" s="189">
        <f t="shared" si="18"/>
        <v>0</v>
      </c>
      <c r="I28" s="190">
        <f t="shared" si="17"/>
        <v>0</v>
      </c>
      <c r="J28" s="554" t="str">
        <f>IF('Proj Info'!B51=" "," ",'Proj Info'!B51)</f>
        <v/>
      </c>
      <c r="K28" s="17"/>
      <c r="L28" s="17"/>
      <c r="M28" s="18">
        <f t="shared" si="19"/>
        <v>0</v>
      </c>
      <c r="N28" s="15">
        <f t="shared" si="20"/>
        <v>0.1</v>
      </c>
      <c r="O28" s="15">
        <f t="shared" si="21"/>
        <v>0.1</v>
      </c>
      <c r="P28" s="15">
        <f t="shared" si="22"/>
        <v>0.1</v>
      </c>
      <c r="Q28" s="15">
        <f t="shared" si="23"/>
        <v>0.1</v>
      </c>
      <c r="R28" s="15">
        <f t="shared" si="24"/>
        <v>0.1</v>
      </c>
      <c r="T28" s="82" t="s">
        <v>67</v>
      </c>
      <c r="U28" s="86">
        <f>U27-($U$25-$U$30)/5</f>
        <v>0</v>
      </c>
      <c r="V28" s="86">
        <f>V27-($V$25-$V$30)/5</f>
        <v>0</v>
      </c>
      <c r="W28" s="83">
        <f>'Grad 2'!I47</f>
        <v>0</v>
      </c>
      <c r="X28" s="84" t="str">
        <f t="shared" si="13"/>
        <v xml:space="preserve"> </v>
      </c>
      <c r="Y28" s="519" t="str">
        <f t="shared" si="14"/>
        <v xml:space="preserve"> </v>
      </c>
      <c r="Z28" s="83">
        <f>'Grad 1'!Z28</f>
        <v>0</v>
      </c>
      <c r="AA28" s="101">
        <f>IF((Z28-3)&gt;0,Z28-3,0)</f>
        <v>0</v>
      </c>
      <c r="AB28" s="101">
        <f>Z28+3</f>
        <v>3</v>
      </c>
      <c r="AC28" s="81" t="str">
        <f t="shared" si="12"/>
        <v>No</v>
      </c>
      <c r="AD28" s="100">
        <f t="shared" si="15"/>
        <v>0</v>
      </c>
      <c r="AE28" t="str">
        <f t="shared" si="16"/>
        <v>0-3</v>
      </c>
    </row>
    <row r="29" spans="1:31" ht="21" customHeight="1" thickBot="1">
      <c r="A29" s="33" t="s">
        <v>39</v>
      </c>
      <c r="B29" s="187"/>
      <c r="C29" s="29"/>
      <c r="D29" s="192">
        <f>IF(B29="",0,SUM(B22:B29))</f>
        <v>0</v>
      </c>
      <c r="E29" s="29"/>
      <c r="F29" s="29"/>
      <c r="G29" s="189">
        <f t="shared" si="25"/>
        <v>0.1</v>
      </c>
      <c r="H29" s="37"/>
      <c r="I29" s="37"/>
      <c r="J29" s="555"/>
      <c r="K29" s="17"/>
      <c r="L29" s="17"/>
      <c r="M29" s="18">
        <f t="shared" si="19"/>
        <v>0</v>
      </c>
      <c r="N29" s="15">
        <f t="shared" si="20"/>
        <v>0.1</v>
      </c>
      <c r="O29" s="15">
        <f t="shared" si="21"/>
        <v>0.1</v>
      </c>
      <c r="P29" s="15">
        <f t="shared" si="22"/>
        <v>0.1</v>
      </c>
      <c r="Q29" s="15">
        <f t="shared" si="23"/>
        <v>0.1</v>
      </c>
      <c r="R29" s="15">
        <f t="shared" si="24"/>
        <v>0.1</v>
      </c>
      <c r="T29" s="82" t="s">
        <v>68</v>
      </c>
      <c r="U29" s="86">
        <f>U28-($U$25-$U$30)/5</f>
        <v>0</v>
      </c>
      <c r="V29" s="86">
        <f>V28-($V$25-$V$30)/5</f>
        <v>0</v>
      </c>
      <c r="W29" s="83">
        <f>'Grad 2'!I48</f>
        <v>0</v>
      </c>
      <c r="X29" s="84" t="str">
        <f t="shared" si="13"/>
        <v xml:space="preserve"> </v>
      </c>
      <c r="Y29" s="519" t="str">
        <f t="shared" si="14"/>
        <v xml:space="preserve"> </v>
      </c>
      <c r="Z29" s="83">
        <f>'Grad 1'!Z29</f>
        <v>0</v>
      </c>
      <c r="AA29" s="101">
        <f>IF((Z29-2)&gt;0,Z29-2,0)</f>
        <v>0</v>
      </c>
      <c r="AB29" s="101">
        <f>Z29+2</f>
        <v>2</v>
      </c>
      <c r="AC29" s="81" t="str">
        <f t="shared" si="12"/>
        <v>No</v>
      </c>
      <c r="AD29" s="100">
        <f t="shared" si="15"/>
        <v>0</v>
      </c>
      <c r="AE29" t="str">
        <f t="shared" si="16"/>
        <v>0-2</v>
      </c>
    </row>
    <row r="30" spans="1:31" ht="21" customHeight="1">
      <c r="A30" s="509" t="s">
        <v>500</v>
      </c>
      <c r="B30" s="195"/>
      <c r="C30" s="37" t="s">
        <v>37</v>
      </c>
      <c r="D30" s="29"/>
      <c r="E30" s="29"/>
      <c r="F30" s="29"/>
      <c r="G30" s="189">
        <f>SUM(G22:G29)</f>
        <v>0.79999999999999993</v>
      </c>
      <c r="H30" s="191"/>
      <c r="I30" s="191"/>
      <c r="J30" s="555"/>
      <c r="K30" s="14"/>
      <c r="L30" s="14"/>
      <c r="M30" s="16"/>
      <c r="N30" s="17"/>
      <c r="O30" s="19"/>
      <c r="P30" s="19"/>
      <c r="Q30" s="19"/>
      <c r="R30" s="19"/>
      <c r="T30" s="82" t="s">
        <v>17</v>
      </c>
      <c r="U30" s="83">
        <f>'Grad 2'!$I$14</f>
        <v>0</v>
      </c>
      <c r="V30" s="83">
        <f>'Grad 2'!$I$31</f>
        <v>0</v>
      </c>
      <c r="W30" s="83">
        <f>'Grad 2'!I49</f>
        <v>0</v>
      </c>
      <c r="X30" s="84" t="str">
        <f t="shared" si="13"/>
        <v xml:space="preserve"> </v>
      </c>
      <c r="Y30" s="519" t="str">
        <f t="shared" si="14"/>
        <v xml:space="preserve"> </v>
      </c>
      <c r="Z30" s="83">
        <f>'Grad 1'!Z30</f>
        <v>2</v>
      </c>
      <c r="AA30" s="101">
        <v>0</v>
      </c>
      <c r="AB30" s="83">
        <f>Z30</f>
        <v>2</v>
      </c>
      <c r="AC30" s="81" t="str">
        <f t="shared" si="12"/>
        <v>No</v>
      </c>
      <c r="AD30" s="100">
        <f t="shared" si="15"/>
        <v>0</v>
      </c>
      <c r="AE30" t="str">
        <f t="shared" si="16"/>
        <v>0-2</v>
      </c>
    </row>
    <row r="31" spans="1:31" ht="21" customHeight="1" thickBot="1">
      <c r="A31" s="510" t="s">
        <v>501</v>
      </c>
      <c r="B31" s="196"/>
      <c r="C31" s="37" t="s">
        <v>38</v>
      </c>
      <c r="D31" s="29"/>
      <c r="E31" s="29"/>
      <c r="F31" s="29"/>
      <c r="G31" s="191"/>
      <c r="H31" s="38" t="s">
        <v>17</v>
      </c>
      <c r="I31" s="188">
        <f>ROUND(IF(B34=0,0,SUM(B34/B30)*100),1)</f>
        <v>0</v>
      </c>
      <c r="J31" s="554" t="str">
        <f>IF('Proj Info'!B52=" "," ",'Proj Info'!B52)</f>
        <v/>
      </c>
      <c r="K31" s="14"/>
      <c r="L31" s="17"/>
      <c r="M31" s="17">
        <f t="shared" ref="M31:R31" si="26">ROUND(IF(M29="",0,SUM(M22:M29)),1)</f>
        <v>0</v>
      </c>
      <c r="N31" s="17">
        <f t="shared" si="26"/>
        <v>0.8</v>
      </c>
      <c r="O31" s="17">
        <f t="shared" si="26"/>
        <v>0.8</v>
      </c>
      <c r="P31" s="17">
        <f t="shared" si="26"/>
        <v>0.8</v>
      </c>
      <c r="Q31" s="17">
        <f t="shared" si="26"/>
        <v>0.8</v>
      </c>
      <c r="R31" s="17">
        <f t="shared" si="26"/>
        <v>0.8</v>
      </c>
      <c r="T31" s="87"/>
      <c r="U31" s="91"/>
      <c r="V31" s="91"/>
      <c r="W31" s="91"/>
      <c r="X31" s="89"/>
      <c r="Y31" s="89"/>
      <c r="Z31" s="95"/>
      <c r="AA31" s="91"/>
      <c r="AB31" s="91"/>
      <c r="AC31" s="76"/>
      <c r="AD31" s="100">
        <f>+SUM(AD19:AD30)</f>
        <v>0</v>
      </c>
      <c r="AE31" t="str">
        <f>IF(AD31=12,"Y","N")</f>
        <v>N</v>
      </c>
    </row>
    <row r="32" spans="1:31" ht="21" customHeight="1" thickTop="1">
      <c r="A32" s="33" t="s">
        <v>39</v>
      </c>
      <c r="B32" s="187"/>
      <c r="C32" s="37" t="s">
        <v>40</v>
      </c>
      <c r="D32" s="29"/>
      <c r="E32" s="29"/>
      <c r="F32" s="29"/>
      <c r="G32" s="184"/>
      <c r="H32" s="191"/>
      <c r="I32" s="191"/>
      <c r="J32" s="210"/>
      <c r="K32" s="14"/>
      <c r="L32" s="14"/>
      <c r="M32" s="14"/>
      <c r="N32" s="14"/>
      <c r="O32" s="14"/>
      <c r="P32" s="14"/>
      <c r="Q32" s="14"/>
      <c r="R32" s="14"/>
      <c r="X32" t="s">
        <v>129</v>
      </c>
      <c r="Y32" s="166" t="str">
        <f>IF(B4="","",((100-Y19)+(Y19-Y20)+(Y20-Y21)+(Y21-Y22)+(Y22-Y23))/((100-Y19)+(Y19-Y20)+(Y20-Y21)+(Y21-Y22)+(Y22-Y23)+(Y23-Y24)+(Y24-Y25))*100)</f>
        <v/>
      </c>
    </row>
    <row r="33" spans="1:25" ht="21" customHeight="1">
      <c r="A33" s="33" t="s">
        <v>41</v>
      </c>
      <c r="B33" s="188">
        <f>IF(B31="",0,SUM(B30-B31))</f>
        <v>0</v>
      </c>
      <c r="C33" s="37" t="s">
        <v>42</v>
      </c>
      <c r="D33" s="29"/>
      <c r="E33" s="21"/>
      <c r="F33" s="29"/>
      <c r="G33" s="29"/>
      <c r="H33" s="29"/>
      <c r="I33" s="29"/>
      <c r="J33" s="2"/>
      <c r="K33" s="14"/>
      <c r="L33" s="14"/>
      <c r="M33" s="14"/>
      <c r="N33" s="14"/>
      <c r="O33" s="14"/>
      <c r="P33" s="14"/>
      <c r="Q33" s="14"/>
      <c r="R33" s="14"/>
      <c r="X33" t="s">
        <v>130</v>
      </c>
      <c r="Y33" s="166" t="str">
        <f>IF(Y25="","",Y25)</f>
        <v xml:space="preserve"> </v>
      </c>
    </row>
    <row r="34" spans="1:25" ht="21" customHeight="1">
      <c r="A34" s="33" t="s">
        <v>43</v>
      </c>
      <c r="B34" s="197">
        <f>IF(B32="",0,SUM(B32:B33))</f>
        <v>0</v>
      </c>
      <c r="C34" s="29"/>
      <c r="D34" s="29"/>
      <c r="E34" s="21"/>
      <c r="F34" s="29"/>
      <c r="G34" s="29"/>
      <c r="H34" s="29"/>
      <c r="I34" s="29"/>
      <c r="J34" s="2"/>
      <c r="K34" s="14"/>
      <c r="L34" s="14"/>
      <c r="M34" s="14"/>
      <c r="N34" s="14"/>
      <c r="O34" s="14"/>
      <c r="P34" s="14"/>
      <c r="Q34" s="14"/>
      <c r="R34" s="14"/>
    </row>
    <row r="35" spans="1:25" ht="21" customHeight="1">
      <c r="A35" s="33" t="s">
        <v>502</v>
      </c>
      <c r="B35" s="43"/>
      <c r="C35" s="29"/>
      <c r="D35" s="29"/>
      <c r="E35" s="29"/>
      <c r="F35" s="29"/>
      <c r="G35" s="29"/>
      <c r="H35" s="29"/>
      <c r="I35" s="29"/>
      <c r="J35" s="2"/>
      <c r="K35" s="14"/>
      <c r="L35" s="14"/>
      <c r="M35" s="14"/>
      <c r="N35" s="14"/>
      <c r="O35" s="14"/>
      <c r="P35" s="14"/>
      <c r="Q35" s="14"/>
      <c r="R35" s="14"/>
    </row>
    <row r="36" spans="1:25" ht="21" hidden="1" customHeight="1">
      <c r="A36" s="39"/>
      <c r="B36" s="39"/>
      <c r="C36" s="39"/>
      <c r="D36" s="39"/>
      <c r="E36" s="39"/>
      <c r="F36" s="39"/>
      <c r="G36" s="39"/>
      <c r="H36" s="39"/>
      <c r="I36" s="39"/>
      <c r="J36" s="2"/>
      <c r="K36" s="14"/>
      <c r="L36" s="14"/>
      <c r="M36" s="14"/>
      <c r="N36" s="14"/>
      <c r="O36" s="14"/>
      <c r="P36" s="14"/>
      <c r="Q36" s="14"/>
      <c r="R36" s="14"/>
    </row>
    <row r="37" spans="1:25" ht="21" customHeight="1" thickBot="1">
      <c r="A37" s="39"/>
      <c r="B37" s="39"/>
      <c r="C37" s="39"/>
      <c r="D37" s="39"/>
      <c r="E37" s="39"/>
      <c r="F37" s="39"/>
      <c r="G37" s="39"/>
      <c r="H37" s="39"/>
      <c r="I37" s="39"/>
      <c r="J37" s="2"/>
      <c r="K37" s="14"/>
      <c r="L37" s="14"/>
      <c r="M37" s="14"/>
      <c r="N37" s="14"/>
      <c r="O37" s="14"/>
      <c r="P37" s="14"/>
      <c r="Q37" s="14"/>
      <c r="R37" s="14"/>
    </row>
    <row r="38" spans="1:25" ht="21" customHeight="1">
      <c r="A38" s="512" t="s">
        <v>503</v>
      </c>
      <c r="B38" s="40"/>
      <c r="C38" s="41"/>
      <c r="D38" s="42"/>
      <c r="E38" s="29"/>
      <c r="F38" s="29"/>
      <c r="G38" s="29"/>
      <c r="H38" s="29"/>
      <c r="I38" s="29"/>
      <c r="J38" s="2"/>
      <c r="K38" s="14"/>
      <c r="L38" s="14"/>
      <c r="M38" s="14"/>
      <c r="N38" s="14"/>
      <c r="O38" s="14"/>
      <c r="P38" s="14"/>
      <c r="Q38" s="14"/>
      <c r="R38" s="14"/>
    </row>
    <row r="39" spans="1:25" ht="21" customHeight="1">
      <c r="A39" s="513" t="s">
        <v>504</v>
      </c>
      <c r="B39" s="187"/>
      <c r="C39" s="569" t="s">
        <v>45</v>
      </c>
      <c r="D39" s="570"/>
      <c r="E39" s="185">
        <f>ROUND(IF(D51=0,0,SUM(D51/B39)*100),1)</f>
        <v>0</v>
      </c>
      <c r="F39" s="31" t="s">
        <v>32</v>
      </c>
      <c r="G39" s="10" t="s">
        <v>46</v>
      </c>
      <c r="H39" s="29"/>
      <c r="I39" s="29"/>
      <c r="J39" s="2"/>
      <c r="K39" s="14"/>
      <c r="L39" s="14"/>
      <c r="M39" s="14"/>
      <c r="N39" s="14"/>
      <c r="O39" s="14"/>
      <c r="P39" s="14"/>
      <c r="Q39" s="14"/>
      <c r="R39" s="14"/>
    </row>
    <row r="40" spans="1:25" ht="21" customHeight="1">
      <c r="A40" s="513" t="s">
        <v>505</v>
      </c>
      <c r="B40" s="187"/>
      <c r="C40" s="29"/>
      <c r="D40" s="574" t="str">
        <f>IF(E39&lt;5,"",IF(E39&lt;99.5,"Check Weights.",IF(E39&gt;100.5,"Check Weights","")))</f>
        <v/>
      </c>
      <c r="E40" s="575"/>
      <c r="F40" s="35"/>
      <c r="G40" s="32" t="s">
        <v>33</v>
      </c>
      <c r="H40" s="32" t="s">
        <v>34</v>
      </c>
      <c r="I40" s="32" t="s">
        <v>35</v>
      </c>
      <c r="J40" s="13" t="s">
        <v>36</v>
      </c>
      <c r="K40" s="14"/>
      <c r="L40" s="14"/>
      <c r="M40" s="17" t="s">
        <v>33</v>
      </c>
      <c r="N40" s="14"/>
      <c r="O40" s="14"/>
      <c r="P40" s="14"/>
      <c r="Q40" s="14"/>
      <c r="R40" s="14"/>
    </row>
    <row r="41" spans="1:25" ht="21" customHeight="1">
      <c r="A41" s="33" t="s">
        <v>496</v>
      </c>
      <c r="B41" s="187"/>
      <c r="C41" s="29"/>
      <c r="D41" s="34"/>
      <c r="E41" s="35"/>
      <c r="F41" s="35"/>
      <c r="G41" s="188">
        <f>IF($M$52=100,$M41,IF($N$52=100,$N41,IF($O$52=100,$O41,IF($P$52=100,$P41,IF($Q$52=100,$Q41,IF($R$52=100,$R41,$R41))))))</f>
        <v>0.1</v>
      </c>
      <c r="H41" s="188">
        <f>IF(D51=0,0,100-G41)</f>
        <v>0</v>
      </c>
      <c r="I41" s="198">
        <f>IF(H41&gt;9.9,ROUND(H41,0),ROUND(H41,1))</f>
        <v>0</v>
      </c>
      <c r="J41" s="13"/>
      <c r="K41" s="14"/>
      <c r="L41" s="14"/>
      <c r="M41" s="22">
        <f>ROUND(IF(B41="",0,SUM(B41/$B$39)*100),1)</f>
        <v>0</v>
      </c>
      <c r="N41" s="19">
        <f>IF(M41=K42,L42,M41)</f>
        <v>0</v>
      </c>
      <c r="O41" s="23">
        <f>IF(N41=K$44,L$44,N41)</f>
        <v>0.1</v>
      </c>
      <c r="P41" s="23">
        <f>IF(O41=K$45,L$45,O41)</f>
        <v>0.1</v>
      </c>
      <c r="Q41" s="23">
        <f>IF(P41=K$46,L$46,P41)</f>
        <v>0.1</v>
      </c>
      <c r="R41" s="23">
        <f>IF(Q41=K$46,L$46,Q41)</f>
        <v>0.1</v>
      </c>
    </row>
    <row r="42" spans="1:25" ht="21" customHeight="1">
      <c r="A42" s="33" t="s">
        <v>497</v>
      </c>
      <c r="B42" s="187"/>
      <c r="C42" s="29"/>
      <c r="D42" s="29"/>
      <c r="E42" s="29"/>
      <c r="F42" s="29"/>
      <c r="G42" s="188">
        <f t="shared" ref="G42:G47" si="27">IF($M$52=100,$M42,IF($N$52=100,$N42,IF($O$52=100,$O42,IF($P$52=100,$P42,IF($Q$52=100,$Q42,IF($R$52=100,$R42,$R42))))))</f>
        <v>0.1</v>
      </c>
      <c r="H42" s="188">
        <f t="shared" ref="H42:H49" si="28">IF(H41=0,0,(H41-G42))</f>
        <v>0</v>
      </c>
      <c r="I42" s="198">
        <f t="shared" ref="I42:I49" si="29">IF(H42&gt;9.9,ROUND(H42,0),ROUND(H42,1))</f>
        <v>0</v>
      </c>
      <c r="J42" s="13" t="str">
        <f>IF('Proj Info'!B53=" "," ",'Proj Info'!B53)</f>
        <v/>
      </c>
      <c r="K42" s="14"/>
      <c r="L42" s="14"/>
      <c r="M42" s="22">
        <f t="shared" ref="M42:M49" si="30">ROUND(IF(B42="",0,SUM(B42/$B$39)*100),1)</f>
        <v>0</v>
      </c>
      <c r="N42" s="19">
        <f>IF(M42=K43,L43,M42)</f>
        <v>0.1</v>
      </c>
      <c r="O42" s="23">
        <f t="shared" ref="O42:O50" si="31">IF(N42=K$44,L$44,N42)</f>
        <v>0.1</v>
      </c>
      <c r="P42" s="23">
        <f t="shared" ref="P42:P50" si="32">IF(O42=K$45,L$45,O42)</f>
        <v>0.1</v>
      </c>
      <c r="Q42" s="23">
        <f t="shared" ref="Q42:Q50" si="33">IF(P42=K$46,L$46,P42)</f>
        <v>0.1</v>
      </c>
      <c r="R42" s="23">
        <f>IF(Q42=K$46,L$46,Q42)</f>
        <v>0.1</v>
      </c>
    </row>
    <row r="43" spans="1:25" ht="21" customHeight="1">
      <c r="A43" s="33" t="s">
        <v>498</v>
      </c>
      <c r="B43" s="187"/>
      <c r="C43" s="29"/>
      <c r="D43" s="29"/>
      <c r="E43" s="29"/>
      <c r="F43" s="29"/>
      <c r="G43" s="188">
        <f t="shared" si="27"/>
        <v>0.1</v>
      </c>
      <c r="H43" s="188">
        <f t="shared" si="28"/>
        <v>0</v>
      </c>
      <c r="I43" s="198">
        <f t="shared" si="29"/>
        <v>0</v>
      </c>
      <c r="J43" s="13" t="str">
        <f>IF('Proj Info'!B54=" "," ",'Proj Info'!B54)</f>
        <v/>
      </c>
      <c r="K43" s="17">
        <f>LARGE(M43:M47,1)</f>
        <v>0</v>
      </c>
      <c r="L43" s="17">
        <f>IF(M52&lt;100,(K43+0.1),IF(M52&gt;100,(K43-0.1),K43))</f>
        <v>0.1</v>
      </c>
      <c r="M43" s="22">
        <f t="shared" si="30"/>
        <v>0</v>
      </c>
      <c r="N43" s="19">
        <f t="shared" ref="N43:N50" si="34">IF(M43=$K$43,$L$43,M43)</f>
        <v>0.1</v>
      </c>
      <c r="O43" s="23">
        <f t="shared" si="31"/>
        <v>0.1</v>
      </c>
      <c r="P43" s="23">
        <f t="shared" si="32"/>
        <v>0.1</v>
      </c>
      <c r="Q43" s="23">
        <f t="shared" si="33"/>
        <v>0.1</v>
      </c>
      <c r="R43" s="23">
        <f t="shared" ref="R43:R50" si="35">IF(Q43=K$47,L$47,Q43)</f>
        <v>0.1</v>
      </c>
    </row>
    <row r="44" spans="1:25" ht="21" customHeight="1">
      <c r="A44" s="33" t="s">
        <v>499</v>
      </c>
      <c r="B44" s="187"/>
      <c r="C44" s="29"/>
      <c r="D44" s="29"/>
      <c r="E44" s="29"/>
      <c r="F44" s="29"/>
      <c r="G44" s="188">
        <f t="shared" si="27"/>
        <v>0.1</v>
      </c>
      <c r="H44" s="188">
        <f t="shared" si="28"/>
        <v>0</v>
      </c>
      <c r="I44" s="198">
        <f t="shared" si="29"/>
        <v>0</v>
      </c>
      <c r="J44" s="13" t="str">
        <f>IF('Proj Info'!B55=" "," ",'Proj Info'!B55)</f>
        <v/>
      </c>
      <c r="K44" s="17">
        <f>LARGE(M43:M47,2)</f>
        <v>0</v>
      </c>
      <c r="L44" s="17">
        <f>IF(N52&lt;100,(K44+0.1),IF(N52&gt;100,(K44-0.1),K44))</f>
        <v>0.1</v>
      </c>
      <c r="M44" s="22">
        <f t="shared" si="30"/>
        <v>0</v>
      </c>
      <c r="N44" s="19">
        <f t="shared" si="34"/>
        <v>0.1</v>
      </c>
      <c r="O44" s="23">
        <f t="shared" si="31"/>
        <v>0.1</v>
      </c>
      <c r="P44" s="23">
        <f t="shared" si="32"/>
        <v>0.1</v>
      </c>
      <c r="Q44" s="23">
        <f t="shared" si="33"/>
        <v>0.1</v>
      </c>
      <c r="R44" s="23">
        <f t="shared" si="35"/>
        <v>0.1</v>
      </c>
    </row>
    <row r="45" spans="1:25" ht="21" customHeight="1">
      <c r="A45" s="33" t="s">
        <v>506</v>
      </c>
      <c r="B45" s="187"/>
      <c r="C45" s="29"/>
      <c r="D45" s="29"/>
      <c r="E45" s="29"/>
      <c r="F45" s="29"/>
      <c r="G45" s="188">
        <f t="shared" si="27"/>
        <v>0.1</v>
      </c>
      <c r="H45" s="188">
        <f t="shared" si="28"/>
        <v>0</v>
      </c>
      <c r="I45" s="198">
        <f t="shared" si="29"/>
        <v>0</v>
      </c>
      <c r="J45" s="20"/>
      <c r="K45" s="17">
        <f>LARGE(M43:M47,3)</f>
        <v>0</v>
      </c>
      <c r="L45" s="17">
        <f>IF(O52&gt;100,K45-0.1,IF(O52&lt;100,K45+0.1,K45))</f>
        <v>0.1</v>
      </c>
      <c r="M45" s="22">
        <f t="shared" si="30"/>
        <v>0</v>
      </c>
      <c r="N45" s="19">
        <f t="shared" si="34"/>
        <v>0.1</v>
      </c>
      <c r="O45" s="23">
        <f t="shared" si="31"/>
        <v>0.1</v>
      </c>
      <c r="P45" s="23">
        <f t="shared" si="32"/>
        <v>0.1</v>
      </c>
      <c r="Q45" s="23">
        <f t="shared" si="33"/>
        <v>0.1</v>
      </c>
      <c r="R45" s="23">
        <f t="shared" si="35"/>
        <v>0.1</v>
      </c>
    </row>
    <row r="46" spans="1:25" ht="21" customHeight="1">
      <c r="A46" s="33" t="s">
        <v>507</v>
      </c>
      <c r="B46" s="187"/>
      <c r="C46" s="29"/>
      <c r="D46" s="29"/>
      <c r="E46" s="29"/>
      <c r="F46" s="29"/>
      <c r="G46" s="188">
        <f t="shared" si="27"/>
        <v>0.1</v>
      </c>
      <c r="H46" s="188">
        <f t="shared" si="28"/>
        <v>0</v>
      </c>
      <c r="I46" s="198">
        <f t="shared" si="29"/>
        <v>0</v>
      </c>
      <c r="J46" s="13" t="str">
        <f>IF('Proj Info'!B56=" "," ",'Proj Info'!B56)</f>
        <v/>
      </c>
      <c r="K46" s="17">
        <f>LARGE(M43:M47,4)</f>
        <v>0</v>
      </c>
      <c r="L46" s="17">
        <f>IF(P52&gt;100,K46-0.1,IF(P52&lt;100,K46+0.1,K46))</f>
        <v>0.1</v>
      </c>
      <c r="M46" s="22">
        <f t="shared" si="30"/>
        <v>0</v>
      </c>
      <c r="N46" s="19">
        <f t="shared" si="34"/>
        <v>0.1</v>
      </c>
      <c r="O46" s="23">
        <f t="shared" si="31"/>
        <v>0.1</v>
      </c>
      <c r="P46" s="23">
        <f t="shared" si="32"/>
        <v>0.1</v>
      </c>
      <c r="Q46" s="23">
        <f t="shared" si="33"/>
        <v>0.1</v>
      </c>
      <c r="R46" s="23">
        <f t="shared" si="35"/>
        <v>0.1</v>
      </c>
    </row>
    <row r="47" spans="1:25" ht="21" customHeight="1">
      <c r="A47" s="33" t="s">
        <v>508</v>
      </c>
      <c r="B47" s="187"/>
      <c r="C47" s="29"/>
      <c r="D47" s="29"/>
      <c r="E47" s="29"/>
      <c r="F47" s="29"/>
      <c r="G47" s="188">
        <f t="shared" si="27"/>
        <v>0.1</v>
      </c>
      <c r="H47" s="188">
        <f t="shared" si="28"/>
        <v>0</v>
      </c>
      <c r="I47" s="198">
        <f t="shared" si="29"/>
        <v>0</v>
      </c>
      <c r="J47" s="13"/>
      <c r="K47" s="17">
        <f>LARGE(M43:M47,5)</f>
        <v>0</v>
      </c>
      <c r="L47" s="17">
        <f>IF(Q52&gt;100,K47-0.1,IF(Q52&lt;100,K47+0.1,K47))</f>
        <v>0.1</v>
      </c>
      <c r="M47" s="22">
        <f t="shared" si="30"/>
        <v>0</v>
      </c>
      <c r="N47" s="19">
        <f t="shared" si="34"/>
        <v>0.1</v>
      </c>
      <c r="O47" s="23">
        <f t="shared" si="31"/>
        <v>0.1</v>
      </c>
      <c r="P47" s="23">
        <f t="shared" si="32"/>
        <v>0.1</v>
      </c>
      <c r="Q47" s="23">
        <f t="shared" si="33"/>
        <v>0.1</v>
      </c>
      <c r="R47" s="23">
        <f t="shared" si="35"/>
        <v>0.1</v>
      </c>
    </row>
    <row r="48" spans="1:25" ht="21" customHeight="1">
      <c r="A48" s="33" t="s">
        <v>509</v>
      </c>
      <c r="B48" s="187"/>
      <c r="C48" s="29"/>
      <c r="D48" s="29"/>
      <c r="E48" s="29"/>
      <c r="F48" s="29"/>
      <c r="G48" s="188">
        <f>IF($M$52=100,$M48,IF($N$52=100,$N48,IF($O$52=100,$O48,IF($P$52=100,$P48,IF($Q$52=100,$Q48,IF($R$52=100,$R48,$R48))))))</f>
        <v>0.1</v>
      </c>
      <c r="H48" s="188">
        <f t="shared" si="28"/>
        <v>0</v>
      </c>
      <c r="I48" s="198">
        <f t="shared" si="29"/>
        <v>0</v>
      </c>
      <c r="J48" s="20"/>
      <c r="K48" s="17"/>
      <c r="L48" s="17"/>
      <c r="M48" s="22">
        <f t="shared" si="30"/>
        <v>0</v>
      </c>
      <c r="N48" s="19">
        <f t="shared" si="34"/>
        <v>0.1</v>
      </c>
      <c r="O48" s="23">
        <f t="shared" si="31"/>
        <v>0.1</v>
      </c>
      <c r="P48" s="23">
        <f t="shared" si="32"/>
        <v>0.1</v>
      </c>
      <c r="Q48" s="23">
        <f t="shared" si="33"/>
        <v>0.1</v>
      </c>
      <c r="R48" s="23">
        <f t="shared" si="35"/>
        <v>0.1</v>
      </c>
    </row>
    <row r="49" spans="1:18" ht="21" customHeight="1">
      <c r="A49" s="33" t="s">
        <v>510</v>
      </c>
      <c r="B49" s="187"/>
      <c r="C49" s="29"/>
      <c r="D49" s="29"/>
      <c r="E49" s="29"/>
      <c r="F49" s="29"/>
      <c r="G49" s="188">
        <f>IF($M$52=100,$M49,IF($N$52=100,$N49,IF($O$52=100,$O49,IF($P$52=100,$P49,IF($Q$52=100,$Q49,IF($R$52=100,$R49,$R49))))))</f>
        <v>0.1</v>
      </c>
      <c r="H49" s="188">
        <f t="shared" si="28"/>
        <v>0</v>
      </c>
      <c r="I49" s="198">
        <f t="shared" si="29"/>
        <v>0</v>
      </c>
      <c r="J49" s="13" t="str">
        <f>IF('Proj Info'!B57=" "," ",'Proj Info'!B57)</f>
        <v/>
      </c>
      <c r="K49" s="17"/>
      <c r="L49" s="17"/>
      <c r="M49" s="22">
        <f t="shared" si="30"/>
        <v>0</v>
      </c>
      <c r="N49" s="19">
        <f t="shared" si="34"/>
        <v>0.1</v>
      </c>
      <c r="O49" s="23">
        <f t="shared" si="31"/>
        <v>0.1</v>
      </c>
      <c r="P49" s="23">
        <f t="shared" si="32"/>
        <v>0.1</v>
      </c>
      <c r="Q49" s="23">
        <f t="shared" si="33"/>
        <v>0.1</v>
      </c>
      <c r="R49" s="23">
        <f t="shared" si="35"/>
        <v>0.1</v>
      </c>
    </row>
    <row r="50" spans="1:18" ht="21" customHeight="1" thickBot="1">
      <c r="A50" s="33" t="s">
        <v>47</v>
      </c>
      <c r="B50" s="187"/>
      <c r="C50" s="29"/>
      <c r="D50" s="36" t="s">
        <v>27</v>
      </c>
      <c r="E50" s="29"/>
      <c r="F50" s="29"/>
      <c r="G50" s="188">
        <f>IF($M$52=100,$M50,IF($N$52=100,$N50,IF($O$52=100,$O50,IF($P$52=100,$P50,IF($Q$52=100,$Q50,IF($R$52=100,$R50,$R50))))))</f>
        <v>0.1</v>
      </c>
      <c r="H50" s="184"/>
      <c r="I50" s="184"/>
      <c r="J50" s="184"/>
      <c r="K50" s="17"/>
      <c r="L50" s="17"/>
      <c r="M50" s="22">
        <f>ROUND(IF(B50="",0,SUM((B50+B51)/$B$39)*100),1)</f>
        <v>0</v>
      </c>
      <c r="N50" s="19">
        <f t="shared" si="34"/>
        <v>0.1</v>
      </c>
      <c r="O50" s="23">
        <f t="shared" si="31"/>
        <v>0.1</v>
      </c>
      <c r="P50" s="23">
        <f t="shared" si="32"/>
        <v>0.1</v>
      </c>
      <c r="Q50" s="23">
        <f t="shared" si="33"/>
        <v>0.1</v>
      </c>
      <c r="R50" s="23">
        <f t="shared" si="35"/>
        <v>0.1</v>
      </c>
    </row>
    <row r="51" spans="1:18" ht="21" customHeight="1" thickBot="1">
      <c r="A51" s="33" t="s">
        <v>48</v>
      </c>
      <c r="B51" s="188">
        <f>IF(B40="",0,SUM(B39-B40))</f>
        <v>0</v>
      </c>
      <c r="C51" s="29"/>
      <c r="D51" s="186">
        <f>IF(B50="",0,SUM(B41:B51))</f>
        <v>0</v>
      </c>
      <c r="E51" s="29"/>
      <c r="F51" s="29"/>
      <c r="G51" s="188">
        <f>IF(G50="",0,SUM(G41:G50))</f>
        <v>0.99999999999999989</v>
      </c>
      <c r="H51" s="184"/>
      <c r="I51" s="184"/>
      <c r="J51" s="184"/>
      <c r="K51" s="17"/>
      <c r="L51" s="14"/>
      <c r="M51" s="19"/>
      <c r="N51" s="19"/>
      <c r="O51" s="24"/>
      <c r="P51" s="24"/>
      <c r="Q51" s="24"/>
      <c r="R51" s="24"/>
    </row>
    <row r="52" spans="1:18" ht="21" customHeight="1">
      <c r="A52" s="33" t="s">
        <v>147</v>
      </c>
      <c r="B52" s="43"/>
      <c r="C52" s="2"/>
      <c r="D52" s="2"/>
      <c r="E52" s="2"/>
      <c r="F52" s="2"/>
      <c r="G52" s="2"/>
      <c r="H52" s="2"/>
      <c r="I52" s="2"/>
      <c r="J52" s="2"/>
      <c r="K52" s="14"/>
      <c r="L52" s="14"/>
      <c r="M52" s="19">
        <f t="shared" ref="M52:R52" si="36">ROUND(IF(M50="",0,SUM(M41:M50)),1)</f>
        <v>0</v>
      </c>
      <c r="N52" s="19">
        <f t="shared" si="36"/>
        <v>0.9</v>
      </c>
      <c r="O52" s="19">
        <f t="shared" si="36"/>
        <v>1</v>
      </c>
      <c r="P52" s="19">
        <f t="shared" si="36"/>
        <v>1</v>
      </c>
      <c r="Q52" s="19">
        <f t="shared" si="36"/>
        <v>1</v>
      </c>
      <c r="R52" s="19">
        <f t="shared" si="36"/>
        <v>1</v>
      </c>
    </row>
  </sheetData>
  <sheetProtection algorithmName="SHA-512" hashValue="yFnsH3mDwUxAjkt9Qo6rcMs5LpI1XKWbSbVARxVeGYLKKAMmczlzUlwi8XWgskk5Cd2+GgWfuwdKKmh5zGyprw==" saltValue="D7lDKr0IspmFtg2CPwhGiQ==" spinCount="100000" sheet="1" objects="1" scenarios="1"/>
  <mergeCells count="6">
    <mergeCell ref="C39:D39"/>
    <mergeCell ref="D40:E40"/>
    <mergeCell ref="C4:D4"/>
    <mergeCell ref="C21:D21"/>
    <mergeCell ref="D5:E5"/>
    <mergeCell ref="D22:E22"/>
  </mergeCells>
  <phoneticPr fontId="0" type="noConversion"/>
  <pageMargins left="0.5" right="0.57299999999999995" top="0.6" bottom="0.46" header="0.5" footer="0.5"/>
  <pageSetup scale="5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Index</vt:lpstr>
      <vt:lpstr>Proj Info</vt:lpstr>
      <vt:lpstr>Plantinf</vt:lpstr>
      <vt:lpstr>E214</vt:lpstr>
      <vt:lpstr>E215</vt:lpstr>
      <vt:lpstr>E210</vt:lpstr>
      <vt:lpstr>QMC Mix</vt:lpstr>
      <vt:lpstr>Grad 1</vt:lpstr>
      <vt:lpstr>Grad 2</vt:lpstr>
      <vt:lpstr>Grad 3</vt:lpstr>
      <vt:lpstr>Grad 4</vt:lpstr>
      <vt:lpstr>Grad 5</vt:lpstr>
      <vt:lpstr>821283C</vt:lpstr>
      <vt:lpstr>CPI Grad</vt:lpstr>
      <vt:lpstr>IM 216</vt:lpstr>
      <vt:lpstr>E114</vt:lpstr>
      <vt:lpstr>M114</vt:lpstr>
      <vt:lpstr>Diary3</vt:lpstr>
      <vt:lpstr>Diary4</vt:lpstr>
      <vt:lpstr>'821283C'!Print_Area</vt:lpstr>
      <vt:lpstr>'Grad 1'!Print_Area</vt:lpstr>
      <vt:lpstr>'Grad 2'!Print_Area</vt:lpstr>
      <vt:lpstr>'Grad 3'!Print_Area</vt:lpstr>
      <vt:lpstr>'Grad 4'!Print_Area</vt:lpstr>
      <vt:lpstr>'Grad 5'!Print_Area</vt:lpstr>
      <vt:lpstr>'Proj Info'!Print_Area</vt:lpstr>
    </vt:vector>
  </TitlesOfParts>
  <Company>IA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</dc:creator>
  <cp:lastModifiedBy>Hanson, Todd [DOT]</cp:lastModifiedBy>
  <cp:lastPrinted>2023-04-20T16:14:43Z</cp:lastPrinted>
  <dcterms:created xsi:type="dcterms:W3CDTF">2000-02-28T16:48:30Z</dcterms:created>
  <dcterms:modified xsi:type="dcterms:W3CDTF">2023-04-20T16:47:57Z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