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W:\Highway\Materials\PCC\Field and Lab Reports\Plant Monitor\"/>
    </mc:Choice>
  </mc:AlternateContent>
  <xr:revisionPtr revIDLastSave="0" documentId="13_ncr:1_{A20FE5E6-4DA6-471A-8340-7E79F4F51109}" xr6:coauthVersionLast="47" xr6:coauthVersionMax="47" xr10:uidLastSave="{00000000-0000-0000-0000-000000000000}"/>
  <bookViews>
    <workbookView xWindow="31080" yWindow="2055" windowWidth="21600" windowHeight="11325" tabRatio="872" activeTab="1" xr2:uid="{00000000-000D-0000-FFFF-FFFF00000000}"/>
  </bookViews>
  <sheets>
    <sheet name="Index" sheetId="28" r:id="rId1"/>
    <sheet name="Proj Info" sheetId="1" r:id="rId2"/>
    <sheet name="Plantinf" sheetId="18" r:id="rId3"/>
    <sheet name="E213" sheetId="19" r:id="rId4"/>
    <sheet name="E215" sheetId="30" r:id="rId5"/>
    <sheet name="E210" sheetId="21" r:id="rId6"/>
    <sheet name="HPC-D Mix" sheetId="17" r:id="rId7"/>
    <sheet name="Grad 1" sheetId="3" r:id="rId8"/>
    <sheet name="Grad 2" sheetId="4" r:id="rId9"/>
    <sheet name="Grad 3" sheetId="5" r:id="rId10"/>
    <sheet name="Grad 4" sheetId="15" r:id="rId11"/>
    <sheet name="Grad 5" sheetId="16" r:id="rId12"/>
    <sheet name="821283C" sheetId="7" r:id="rId13"/>
    <sheet name="CPI Grad" sheetId="26" r:id="rId14"/>
    <sheet name="IM 216" sheetId="27" r:id="rId15"/>
    <sheet name="E114" sheetId="22" r:id="rId16"/>
    <sheet name="M114" sheetId="29" r:id="rId17"/>
    <sheet name="Diary3" sheetId="23" r:id="rId18"/>
    <sheet name="Diary4" sheetId="25" r:id="rId19"/>
  </sheets>
  <definedNames>
    <definedName name="Mixes">#REF!</definedName>
    <definedName name="_xlnm.Print_Area" localSheetId="12">'821283C'!$A$1:$Q$58</definedName>
    <definedName name="_xlnm.Print_Area" localSheetId="7">'Grad 1'!$A$1:$J$52</definedName>
    <definedName name="_xlnm.Print_Area" localSheetId="8">'Grad 2'!$A$1:$J$52</definedName>
    <definedName name="_xlnm.Print_Area" localSheetId="9">'Grad 3'!$A$1:$J$52</definedName>
    <definedName name="_xlnm.Print_Area" localSheetId="10">'Grad 4'!$A$1:$J$52</definedName>
    <definedName name="_xlnm.Print_Area" localSheetId="11">'Grad 5'!$A$1:$J$52</definedName>
    <definedName name="_xlnm.Print_Area" localSheetId="1">'Proj Info'!$A$1:$D$62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30" l="1"/>
  <c r="B4" i="30"/>
  <c r="O29" i="7"/>
  <c r="O28" i="7"/>
  <c r="O27" i="7"/>
  <c r="O26" i="7"/>
  <c r="O25" i="7"/>
  <c r="J27" i="16"/>
  <c r="J25" i="15"/>
  <c r="J27" i="3"/>
  <c r="B52" i="1"/>
  <c r="J31" i="5" s="1"/>
  <c r="B51" i="1"/>
  <c r="J28" i="4" s="1"/>
  <c r="B50" i="1"/>
  <c r="J27" i="4" s="1"/>
  <c r="B49" i="1"/>
  <c r="J26" i="16" s="1"/>
  <c r="B48" i="1"/>
  <c r="J25" i="16" s="1"/>
  <c r="B47" i="1"/>
  <c r="J24" i="3" s="1"/>
  <c r="B53" i="1"/>
  <c r="J28" i="3" l="1"/>
  <c r="J24" i="5"/>
  <c r="J26" i="15"/>
  <c r="J28" i="16"/>
  <c r="J31" i="4"/>
  <c r="J31" i="3"/>
  <c r="J25" i="5"/>
  <c r="J27" i="15"/>
  <c r="J31" i="16"/>
  <c r="J26" i="5"/>
  <c r="J25" i="4"/>
  <c r="J27" i="5"/>
  <c r="J31" i="15"/>
  <c r="J26" i="4"/>
  <c r="J28" i="5"/>
  <c r="J24" i="16"/>
  <c r="J24" i="4"/>
  <c r="J28" i="15"/>
  <c r="J26" i="3"/>
  <c r="J24" i="15"/>
  <c r="N50" i="22"/>
  <c r="O50" i="22" s="1"/>
  <c r="N49" i="22"/>
  <c r="O49" i="22" s="1"/>
  <c r="N48" i="22"/>
  <c r="O48" i="22" s="1"/>
  <c r="N47" i="22"/>
  <c r="O47" i="22" s="1"/>
  <c r="N46" i="22"/>
  <c r="O46" i="22" s="1"/>
  <c r="N45" i="22"/>
  <c r="O45" i="22" s="1"/>
  <c r="N44" i="22"/>
  <c r="O44" i="22" s="1"/>
  <c r="N43" i="22"/>
  <c r="O43" i="22" s="1"/>
  <c r="N42" i="22"/>
  <c r="O42" i="22" s="1"/>
  <c r="N41" i="22"/>
  <c r="O41" i="22" s="1"/>
  <c r="N40" i="22"/>
  <c r="O40" i="22" s="1"/>
  <c r="N39" i="22"/>
  <c r="O39" i="22" s="1"/>
  <c r="N38" i="22"/>
  <c r="O38" i="22" s="1"/>
  <c r="N37" i="22"/>
  <c r="O37" i="22" s="1"/>
  <c r="N36" i="22"/>
  <c r="O36" i="22" s="1"/>
  <c r="N35" i="22"/>
  <c r="O35" i="22" s="1"/>
  <c r="N34" i="22"/>
  <c r="O34" i="22" s="1"/>
  <c r="N33" i="22"/>
  <c r="O33" i="22" s="1"/>
  <c r="N32" i="22"/>
  <c r="O32" i="22" s="1"/>
  <c r="N31" i="22"/>
  <c r="O31" i="22" s="1"/>
  <c r="N30" i="22"/>
  <c r="O30" i="22" s="1"/>
  <c r="N29" i="22"/>
  <c r="O29" i="22" s="1"/>
  <c r="N28" i="22"/>
  <c r="O28" i="22" s="1"/>
  <c r="N27" i="22"/>
  <c r="O27" i="22" s="1"/>
  <c r="N26" i="22"/>
  <c r="O26" i="22" s="1"/>
  <c r="N25" i="22"/>
  <c r="O25" i="22" s="1"/>
  <c r="N24" i="22"/>
  <c r="O24" i="22" s="1"/>
  <c r="N23" i="22"/>
  <c r="O23" i="22" s="1"/>
  <c r="N22" i="22"/>
  <c r="O22" i="22" s="1"/>
  <c r="N21" i="22"/>
  <c r="O21" i="22" s="1"/>
  <c r="N20" i="22"/>
  <c r="O20" i="22" s="1"/>
  <c r="N19" i="22"/>
  <c r="O19" i="22" s="1"/>
  <c r="N18" i="22"/>
  <c r="O18" i="22" s="1"/>
  <c r="N17" i="22"/>
  <c r="O17" i="22" s="1"/>
  <c r="N16" i="22"/>
  <c r="O16" i="22" s="1"/>
  <c r="N15" i="22"/>
  <c r="O15" i="22" s="1"/>
  <c r="N14" i="22"/>
  <c r="O14" i="22" s="1"/>
  <c r="N13" i="22"/>
  <c r="O13" i="22" s="1"/>
  <c r="N12" i="22"/>
  <c r="O12" i="22" s="1"/>
  <c r="N11" i="22"/>
  <c r="O11" i="22" s="1"/>
  <c r="B42" i="1" l="1"/>
  <c r="B43" i="1" l="1"/>
  <c r="J25" i="3"/>
  <c r="B45" i="1"/>
  <c r="B46" i="1"/>
  <c r="J24" i="7" l="1"/>
  <c r="M24" i="7"/>
  <c r="C6" i="17"/>
  <c r="C5" i="17"/>
  <c r="C4" i="17"/>
  <c r="B6" i="17"/>
  <c r="B5" i="17"/>
  <c r="B4" i="17"/>
  <c r="Q50" i="7"/>
  <c r="P50" i="7"/>
  <c r="Y7" i="16"/>
  <c r="Y6" i="16"/>
  <c r="Y5" i="16"/>
  <c r="Z5" i="16" s="1"/>
  <c r="Y7" i="15"/>
  <c r="Y6" i="15"/>
  <c r="Y5" i="15"/>
  <c r="Z5" i="15" s="1"/>
  <c r="Y7" i="5"/>
  <c r="Y6" i="5"/>
  <c r="Y5" i="5"/>
  <c r="Y7" i="4"/>
  <c r="Y6" i="4"/>
  <c r="Y5" i="4"/>
  <c r="Y7" i="3"/>
  <c r="Y6" i="3"/>
  <c r="Y5" i="3"/>
  <c r="D35" i="17"/>
  <c r="D28" i="17"/>
  <c r="D21" i="17"/>
  <c r="D14" i="17"/>
  <c r="D7" i="17"/>
  <c r="G4" i="17"/>
  <c r="D39" i="7"/>
  <c r="D38" i="7"/>
  <c r="D37" i="7"/>
  <c r="D36" i="7"/>
  <c r="D35" i="7"/>
  <c r="D29" i="7"/>
  <c r="D28" i="7"/>
  <c r="D27" i="7"/>
  <c r="D26" i="7"/>
  <c r="D25" i="7"/>
  <c r="D19" i="7"/>
  <c r="D18" i="7"/>
  <c r="D17" i="7"/>
  <c r="D16" i="7"/>
  <c r="D15" i="7"/>
  <c r="G4" i="27" s="1"/>
  <c r="B39" i="7"/>
  <c r="B38" i="7"/>
  <c r="B37" i="7"/>
  <c r="B36" i="7"/>
  <c r="A39" i="7"/>
  <c r="A38" i="7"/>
  <c r="A37" i="7"/>
  <c r="A36" i="7"/>
  <c r="B29" i="7"/>
  <c r="B28" i="7"/>
  <c r="B27" i="7"/>
  <c r="B26" i="7"/>
  <c r="B25" i="7"/>
  <c r="A29" i="7"/>
  <c r="A28" i="7"/>
  <c r="A27" i="7"/>
  <c r="A26" i="7"/>
  <c r="A25" i="7"/>
  <c r="B19" i="7"/>
  <c r="B18" i="7"/>
  <c r="B17" i="7"/>
  <c r="B16" i="7"/>
  <c r="A19" i="7"/>
  <c r="A18" i="7"/>
  <c r="A17" i="7"/>
  <c r="A16" i="7"/>
  <c r="G8" i="7"/>
  <c r="K44" i="7" s="1"/>
  <c r="C39" i="7"/>
  <c r="C38" i="7"/>
  <c r="C37" i="7"/>
  <c r="C36" i="7"/>
  <c r="C35" i="7"/>
  <c r="C29" i="7"/>
  <c r="C28" i="7"/>
  <c r="C27" i="7"/>
  <c r="C26" i="7"/>
  <c r="C25" i="7"/>
  <c r="C19" i="7"/>
  <c r="C18" i="7"/>
  <c r="C17" i="7"/>
  <c r="C16" i="7"/>
  <c r="C15" i="7"/>
  <c r="X30" i="3"/>
  <c r="E20" i="17"/>
  <c r="J14" i="16"/>
  <c r="B57" i="1"/>
  <c r="J49" i="15" s="1"/>
  <c r="B56" i="1"/>
  <c r="J46" i="5" s="1"/>
  <c r="B55" i="1"/>
  <c r="J44" i="5" s="1"/>
  <c r="B54" i="1"/>
  <c r="J43" i="3" s="1"/>
  <c r="H34" i="7"/>
  <c r="J11" i="15"/>
  <c r="B44" i="1"/>
  <c r="J14" i="7"/>
  <c r="B41" i="1"/>
  <c r="J7" i="15" s="1"/>
  <c r="B40" i="1"/>
  <c r="J6" i="16" s="1"/>
  <c r="B39" i="1"/>
  <c r="J5" i="4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O4" i="29"/>
  <c r="B4" i="29"/>
  <c r="F4" i="21"/>
  <c r="B4" i="21"/>
  <c r="AB4" i="19"/>
  <c r="B4" i="19"/>
  <c r="B30" i="18"/>
  <c r="B29" i="18"/>
  <c r="B24" i="18"/>
  <c r="B23" i="18"/>
  <c r="D18" i="18"/>
  <c r="D17" i="18"/>
  <c r="D16" i="18"/>
  <c r="D15" i="18"/>
  <c r="A19" i="18"/>
  <c r="A18" i="18"/>
  <c r="B17" i="18"/>
  <c r="A17" i="18"/>
  <c r="B16" i="18"/>
  <c r="A16" i="18"/>
  <c r="B15" i="18"/>
  <c r="A15" i="18"/>
  <c r="B8" i="18"/>
  <c r="B7" i="18"/>
  <c r="B6" i="18"/>
  <c r="F4" i="18"/>
  <c r="B5" i="18"/>
  <c r="B4" i="18"/>
  <c r="B3" i="18"/>
  <c r="G14" i="27"/>
  <c r="G8" i="27"/>
  <c r="E14" i="27"/>
  <c r="B14" i="27"/>
  <c r="E8" i="27"/>
  <c r="E4" i="27"/>
  <c r="E6" i="27"/>
  <c r="G10" i="27"/>
  <c r="E10" i="27"/>
  <c r="E12" i="27"/>
  <c r="B12" i="27"/>
  <c r="B10" i="27"/>
  <c r="B8" i="27"/>
  <c r="B6" i="27"/>
  <c r="B5" i="27"/>
  <c r="B4" i="27"/>
  <c r="B3" i="27"/>
  <c r="B2" i="27"/>
  <c r="C67" i="27"/>
  <c r="C66" i="27"/>
  <c r="C65" i="27"/>
  <c r="C64" i="27"/>
  <c r="C63" i="27"/>
  <c r="C62" i="27"/>
  <c r="C61" i="27"/>
  <c r="C60" i="27"/>
  <c r="C52" i="27"/>
  <c r="C47" i="27"/>
  <c r="C46" i="27"/>
  <c r="C45" i="27"/>
  <c r="C44" i="27"/>
  <c r="C43" i="27"/>
  <c r="C42" i="27"/>
  <c r="C41" i="27"/>
  <c r="C32" i="27"/>
  <c r="C27" i="27"/>
  <c r="C26" i="27"/>
  <c r="C25" i="27"/>
  <c r="C24" i="27"/>
  <c r="C23" i="27"/>
  <c r="C22" i="27"/>
  <c r="C21" i="27"/>
  <c r="G24" i="26"/>
  <c r="F24" i="26"/>
  <c r="E24" i="26"/>
  <c r="X29" i="3"/>
  <c r="X28" i="3"/>
  <c r="X27" i="3"/>
  <c r="X26" i="3"/>
  <c r="Y26" i="3" s="1"/>
  <c r="X25" i="3"/>
  <c r="Y25" i="3" s="1"/>
  <c r="X24" i="3"/>
  <c r="X23" i="3"/>
  <c r="Z23" i="3"/>
  <c r="AA23" i="3" s="1"/>
  <c r="Z23" i="5"/>
  <c r="P51" i="7"/>
  <c r="O51" i="7"/>
  <c r="N51" i="7"/>
  <c r="E25" i="7"/>
  <c r="B9" i="7"/>
  <c r="B8" i="7"/>
  <c r="B7" i="7"/>
  <c r="D51" i="5"/>
  <c r="H41" i="5" s="1"/>
  <c r="D29" i="5"/>
  <c r="D12" i="5"/>
  <c r="E4" i="5" s="1"/>
  <c r="D5" i="5" s="1"/>
  <c r="D51" i="15"/>
  <c r="E39" i="15" s="1"/>
  <c r="D40" i="15" s="1"/>
  <c r="D29" i="15"/>
  <c r="E21" i="15" s="1"/>
  <c r="D22" i="15" s="1"/>
  <c r="D12" i="15"/>
  <c r="D12" i="3"/>
  <c r="E4" i="3"/>
  <c r="D5" i="3" s="1"/>
  <c r="D29" i="3"/>
  <c r="X19" i="3"/>
  <c r="M12" i="3"/>
  <c r="M5" i="3"/>
  <c r="M6" i="3"/>
  <c r="M7" i="3"/>
  <c r="M8" i="3"/>
  <c r="M9" i="3"/>
  <c r="M10" i="3"/>
  <c r="M11" i="3"/>
  <c r="X20" i="3"/>
  <c r="X21" i="3"/>
  <c r="B51" i="3"/>
  <c r="D51" i="3"/>
  <c r="E39" i="3" s="1"/>
  <c r="D40" i="3" s="1"/>
  <c r="M50" i="3"/>
  <c r="M42" i="3"/>
  <c r="M43" i="3"/>
  <c r="K46" i="3" s="1"/>
  <c r="M44" i="3"/>
  <c r="M45" i="3"/>
  <c r="M46" i="3"/>
  <c r="M47" i="3"/>
  <c r="M48" i="3"/>
  <c r="M49" i="3"/>
  <c r="M41" i="3"/>
  <c r="N41" i="3" s="1"/>
  <c r="X22" i="3"/>
  <c r="X19" i="4"/>
  <c r="Y19" i="4" s="1"/>
  <c r="Y32" i="4" s="1"/>
  <c r="X19" i="5"/>
  <c r="Y19" i="5" s="1"/>
  <c r="Y32" i="5" s="1"/>
  <c r="X25" i="4"/>
  <c r="X25" i="5"/>
  <c r="B17" i="15"/>
  <c r="I14" i="15" s="1"/>
  <c r="B34" i="15"/>
  <c r="I31" i="15" s="1"/>
  <c r="N28" i="7" s="1"/>
  <c r="B17" i="5"/>
  <c r="I14" i="5" s="1"/>
  <c r="U30" i="5" s="1"/>
  <c r="B34" i="5"/>
  <c r="I31" i="5" s="1"/>
  <c r="D51" i="16"/>
  <c r="D51" i="4"/>
  <c r="B34" i="4"/>
  <c r="I31" i="4" s="1"/>
  <c r="B17" i="4"/>
  <c r="I14" i="4" s="1"/>
  <c r="U30" i="4" s="1"/>
  <c r="B34" i="16"/>
  <c r="I31" i="16" s="1"/>
  <c r="B17" i="16"/>
  <c r="I14" i="16" s="1"/>
  <c r="D29" i="16"/>
  <c r="E21" i="16" s="1"/>
  <c r="D22" i="16" s="1"/>
  <c r="D29" i="4"/>
  <c r="H22" i="4" s="1"/>
  <c r="D12" i="4"/>
  <c r="D12" i="16"/>
  <c r="E4" i="16" s="1"/>
  <c r="D5" i="16" s="1"/>
  <c r="B34" i="3"/>
  <c r="I31" i="3" s="1"/>
  <c r="B17" i="3"/>
  <c r="I14" i="3"/>
  <c r="B2" i="3"/>
  <c r="X23" i="16"/>
  <c r="X22" i="15"/>
  <c r="X21" i="5"/>
  <c r="X20" i="4"/>
  <c r="Y20" i="4" s="1"/>
  <c r="M46" i="7" s="1"/>
  <c r="Z19" i="3"/>
  <c r="X19" i="16"/>
  <c r="Y19" i="16" s="1"/>
  <c r="Y32" i="16" s="1"/>
  <c r="Z20" i="3"/>
  <c r="X20" i="16"/>
  <c r="Y20" i="16" s="1"/>
  <c r="Z21" i="3"/>
  <c r="Z21" i="16" s="1"/>
  <c r="X21" i="16"/>
  <c r="Y21" i="16" s="1"/>
  <c r="Z22" i="3"/>
  <c r="AA22" i="3" s="1"/>
  <c r="X22" i="16"/>
  <c r="Y22" i="16" s="1"/>
  <c r="Z24" i="3"/>
  <c r="X24" i="16"/>
  <c r="Z25" i="3"/>
  <c r="Z25" i="4" s="1"/>
  <c r="X25" i="16"/>
  <c r="Z26" i="3"/>
  <c r="Z26" i="16"/>
  <c r="X26" i="16"/>
  <c r="H49" i="7" s="1"/>
  <c r="Y26" i="16"/>
  <c r="Z27" i="3"/>
  <c r="Z27" i="16" s="1"/>
  <c r="X27" i="16"/>
  <c r="Z28" i="3"/>
  <c r="X28" i="16"/>
  <c r="Y28" i="16" s="1"/>
  <c r="Z29" i="3"/>
  <c r="Z29" i="16" s="1"/>
  <c r="AB29" i="16" s="1"/>
  <c r="X29" i="16"/>
  <c r="X30" i="16"/>
  <c r="X19" i="15"/>
  <c r="X20" i="15"/>
  <c r="Y20" i="15" s="1"/>
  <c r="X21" i="15"/>
  <c r="X23" i="15"/>
  <c r="X24" i="15"/>
  <c r="Y24" i="15" s="1"/>
  <c r="X25" i="15"/>
  <c r="X26" i="15"/>
  <c r="X27" i="15"/>
  <c r="Y27" i="15" s="1"/>
  <c r="X28" i="15"/>
  <c r="X29" i="15"/>
  <c r="X30" i="15"/>
  <c r="X20" i="5"/>
  <c r="Y20" i="5" s="1"/>
  <c r="Z21" i="5"/>
  <c r="X22" i="5"/>
  <c r="X23" i="5"/>
  <c r="Y23" i="5" s="1"/>
  <c r="X24" i="5"/>
  <c r="X26" i="5"/>
  <c r="Y26" i="5" s="1"/>
  <c r="X27" i="5"/>
  <c r="X28" i="5"/>
  <c r="Y28" i="5" s="1"/>
  <c r="X29" i="5"/>
  <c r="Y29" i="5" s="1"/>
  <c r="X30" i="5"/>
  <c r="Y30" i="5" s="1"/>
  <c r="Z21" i="4"/>
  <c r="X21" i="4"/>
  <c r="X22" i="4"/>
  <c r="Y22" i="4" s="1"/>
  <c r="Z23" i="4"/>
  <c r="AB23" i="4" s="1"/>
  <c r="X23" i="4"/>
  <c r="Y23" i="4" s="1"/>
  <c r="X24" i="4"/>
  <c r="Y24" i="4" s="1"/>
  <c r="X26" i="4"/>
  <c r="Y26" i="4" s="1"/>
  <c r="X27" i="4"/>
  <c r="X28" i="4"/>
  <c r="Y28" i="4" s="1"/>
  <c r="X29" i="4"/>
  <c r="X30" i="4"/>
  <c r="Z30" i="3"/>
  <c r="AB30" i="3" s="1"/>
  <c r="M50" i="5"/>
  <c r="M42" i="5"/>
  <c r="M43" i="5"/>
  <c r="M44" i="5"/>
  <c r="K47" i="5" s="1"/>
  <c r="M45" i="5"/>
  <c r="M46" i="5"/>
  <c r="M47" i="5"/>
  <c r="M48" i="5"/>
  <c r="M49" i="5"/>
  <c r="M41" i="5"/>
  <c r="N41" i="5" s="1"/>
  <c r="M23" i="5"/>
  <c r="M22" i="5"/>
  <c r="M24" i="5"/>
  <c r="M25" i="5"/>
  <c r="M26" i="5"/>
  <c r="M27" i="5"/>
  <c r="M28" i="5"/>
  <c r="K23" i="5" s="1"/>
  <c r="M29" i="5"/>
  <c r="M12" i="5"/>
  <c r="M5" i="5"/>
  <c r="M6" i="5"/>
  <c r="M7" i="5"/>
  <c r="M8" i="5"/>
  <c r="M9" i="5"/>
  <c r="M10" i="5"/>
  <c r="M11" i="5"/>
  <c r="M50" i="4"/>
  <c r="M42" i="4"/>
  <c r="M43" i="4"/>
  <c r="M44" i="4"/>
  <c r="M45" i="4"/>
  <c r="M46" i="4"/>
  <c r="M47" i="4"/>
  <c r="M48" i="4"/>
  <c r="M49" i="4"/>
  <c r="M41" i="4"/>
  <c r="N41" i="4" s="1"/>
  <c r="M23" i="4"/>
  <c r="M22" i="4"/>
  <c r="M24" i="4"/>
  <c r="M25" i="4"/>
  <c r="M26" i="4"/>
  <c r="M27" i="4"/>
  <c r="M28" i="4"/>
  <c r="M29" i="4"/>
  <c r="M12" i="4"/>
  <c r="M5" i="4"/>
  <c r="M6" i="4"/>
  <c r="M7" i="4"/>
  <c r="M8" i="4"/>
  <c r="M9" i="4"/>
  <c r="M10" i="4"/>
  <c r="M11" i="4"/>
  <c r="M23" i="3"/>
  <c r="M22" i="3"/>
  <c r="M24" i="3"/>
  <c r="M25" i="3"/>
  <c r="M26" i="3"/>
  <c r="M27" i="3"/>
  <c r="M28" i="3"/>
  <c r="M29" i="3"/>
  <c r="P39" i="7"/>
  <c r="P38" i="7"/>
  <c r="E39" i="7"/>
  <c r="E38" i="7"/>
  <c r="E29" i="7"/>
  <c r="E28" i="7"/>
  <c r="E19" i="7"/>
  <c r="E18" i="7"/>
  <c r="O19" i="7"/>
  <c r="O18" i="7"/>
  <c r="B2" i="16"/>
  <c r="M12" i="16"/>
  <c r="M5" i="16"/>
  <c r="M6" i="16"/>
  <c r="M7" i="16"/>
  <c r="M8" i="16"/>
  <c r="M9" i="16"/>
  <c r="M10" i="16"/>
  <c r="M11" i="16"/>
  <c r="B16" i="16"/>
  <c r="M22" i="16"/>
  <c r="M23" i="16"/>
  <c r="M24" i="16"/>
  <c r="M25" i="16"/>
  <c r="M26" i="16"/>
  <c r="M27" i="16"/>
  <c r="M28" i="16"/>
  <c r="M29" i="16"/>
  <c r="B33" i="16"/>
  <c r="M50" i="16"/>
  <c r="M42" i="16"/>
  <c r="M43" i="16"/>
  <c r="M44" i="16"/>
  <c r="M45" i="16"/>
  <c r="M46" i="16"/>
  <c r="M47" i="16"/>
  <c r="M48" i="16"/>
  <c r="M49" i="16"/>
  <c r="M41" i="16"/>
  <c r="N41" i="16" s="1"/>
  <c r="J42" i="16"/>
  <c r="B51" i="16"/>
  <c r="B2" i="15"/>
  <c r="M12" i="15"/>
  <c r="M5" i="15"/>
  <c r="M6" i="15"/>
  <c r="M7" i="15"/>
  <c r="M8" i="15"/>
  <c r="M9" i="15"/>
  <c r="M10" i="15"/>
  <c r="M11" i="15"/>
  <c r="B16" i="15"/>
  <c r="M22" i="15"/>
  <c r="M23" i="15"/>
  <c r="M24" i="15"/>
  <c r="M25" i="15"/>
  <c r="M26" i="15"/>
  <c r="M27" i="15"/>
  <c r="M28" i="15"/>
  <c r="M29" i="15"/>
  <c r="B33" i="15"/>
  <c r="M50" i="15"/>
  <c r="M42" i="15"/>
  <c r="M43" i="15"/>
  <c r="M44" i="15"/>
  <c r="M45" i="15"/>
  <c r="M46" i="15"/>
  <c r="M47" i="15"/>
  <c r="M48" i="15"/>
  <c r="M49" i="15"/>
  <c r="M41" i="15"/>
  <c r="N41" i="15" s="1"/>
  <c r="B51" i="15"/>
  <c r="B2" i="5"/>
  <c r="B2" i="4"/>
  <c r="B16" i="3"/>
  <c r="AA11" i="7"/>
  <c r="AA12" i="7"/>
  <c r="B33" i="3"/>
  <c r="B51" i="4"/>
  <c r="B33" i="4"/>
  <c r="B16" i="4"/>
  <c r="B51" i="5"/>
  <c r="B33" i="5"/>
  <c r="B16" i="5"/>
  <c r="A35" i="7"/>
  <c r="A15" i="7"/>
  <c r="B35" i="7"/>
  <c r="B15" i="7"/>
  <c r="L9" i="7"/>
  <c r="F13" i="7"/>
  <c r="F33" i="7"/>
  <c r="E15" i="7"/>
  <c r="O15" i="7"/>
  <c r="E16" i="7"/>
  <c r="O16" i="7"/>
  <c r="E17" i="7"/>
  <c r="O17" i="7"/>
  <c r="E26" i="7"/>
  <c r="E27" i="7"/>
  <c r="E35" i="7"/>
  <c r="P35" i="7"/>
  <c r="E36" i="7"/>
  <c r="P36" i="7"/>
  <c r="E37" i="7"/>
  <c r="P37" i="7"/>
  <c r="B6" i="7"/>
  <c r="G6" i="7"/>
  <c r="L6" i="7"/>
  <c r="O6" i="7"/>
  <c r="Q6" i="7"/>
  <c r="G10" i="7"/>
  <c r="G7" i="7"/>
  <c r="L7" i="7"/>
  <c r="O7" i="7"/>
  <c r="Q7" i="7"/>
  <c r="B10" i="7"/>
  <c r="L8" i="7"/>
  <c r="Q8" i="7"/>
  <c r="Q9" i="7"/>
  <c r="K57" i="7"/>
  <c r="P57" i="7"/>
  <c r="E6" i="17"/>
  <c r="H5" i="3"/>
  <c r="E4" i="17"/>
  <c r="E18" i="17"/>
  <c r="E32" i="17"/>
  <c r="E5" i="17"/>
  <c r="Z23" i="15"/>
  <c r="AA23" i="15" s="1"/>
  <c r="AB27" i="3"/>
  <c r="Y19" i="15"/>
  <c r="Y32" i="15" s="1"/>
  <c r="Y21" i="15"/>
  <c r="E19" i="17"/>
  <c r="Z27" i="4"/>
  <c r="AA27" i="4" s="1"/>
  <c r="Z27" i="5"/>
  <c r="Y29" i="3"/>
  <c r="AA27" i="3"/>
  <c r="AE27" i="3" s="1"/>
  <c r="Z27" i="15"/>
  <c r="E34" i="17"/>
  <c r="E13" i="17"/>
  <c r="E12" i="17"/>
  <c r="E11" i="17"/>
  <c r="E26" i="17"/>
  <c r="Y27" i="16"/>
  <c r="Z21" i="15"/>
  <c r="AB21" i="15" s="1"/>
  <c r="Z24" i="4"/>
  <c r="AB24" i="4" s="1"/>
  <c r="E33" i="17"/>
  <c r="E27" i="17"/>
  <c r="E25" i="17"/>
  <c r="AB27" i="5"/>
  <c r="AA27" i="5"/>
  <c r="J14" i="5"/>
  <c r="V30" i="15"/>
  <c r="Y30" i="16"/>
  <c r="Y33" i="3"/>
  <c r="J11" i="4"/>
  <c r="Y30" i="3"/>
  <c r="Y29" i="4"/>
  <c r="N49" i="7"/>
  <c r="C21" i="26"/>
  <c r="B52" i="27" s="1"/>
  <c r="H5" i="4"/>
  <c r="H6" i="4" s="1"/>
  <c r="H7" i="4" s="1"/>
  <c r="I7" i="4" s="1"/>
  <c r="E4" i="4"/>
  <c r="D5" i="4" s="1"/>
  <c r="I34" i="7"/>
  <c r="Y25" i="15"/>
  <c r="Y33" i="15" s="1"/>
  <c r="Z5" i="4"/>
  <c r="Z23" i="16"/>
  <c r="AA23" i="16" s="1"/>
  <c r="AB23" i="3"/>
  <c r="AC23" i="3" s="1"/>
  <c r="AD23" i="3" s="1"/>
  <c r="I6" i="4"/>
  <c r="U20" i="4" s="1"/>
  <c r="N27" i="7" l="1"/>
  <c r="V30" i="5"/>
  <c r="AB23" i="16"/>
  <c r="Z7" i="16"/>
  <c r="AA24" i="4"/>
  <c r="AE24" i="4" s="1"/>
  <c r="Z22" i="5"/>
  <c r="AB22" i="5" s="1"/>
  <c r="AE27" i="5"/>
  <c r="H41" i="15"/>
  <c r="I41" i="15" s="1"/>
  <c r="W22" i="15" s="1"/>
  <c r="Z22" i="15"/>
  <c r="AB22" i="15" s="1"/>
  <c r="K43" i="5"/>
  <c r="K25" i="16"/>
  <c r="H16" i="7"/>
  <c r="K6" i="15"/>
  <c r="K46" i="5"/>
  <c r="Z22" i="16"/>
  <c r="G44" i="7"/>
  <c r="J43" i="4"/>
  <c r="N47" i="7"/>
  <c r="G48" i="7"/>
  <c r="O49" i="7"/>
  <c r="C48" i="7"/>
  <c r="K45" i="7"/>
  <c r="J42" i="4"/>
  <c r="O45" i="7"/>
  <c r="J42" i="5"/>
  <c r="D44" i="7"/>
  <c r="E44" i="7"/>
  <c r="J42" i="3"/>
  <c r="J46" i="7"/>
  <c r="L45" i="7"/>
  <c r="A44" i="7"/>
  <c r="L46" i="7"/>
  <c r="L44" i="7"/>
  <c r="N48" i="7"/>
  <c r="I49" i="7"/>
  <c r="L47" i="7"/>
  <c r="D47" i="7"/>
  <c r="J46" i="16"/>
  <c r="J44" i="3"/>
  <c r="F46" i="7"/>
  <c r="H45" i="7"/>
  <c r="O47" i="7"/>
  <c r="B44" i="7"/>
  <c r="J47" i="7"/>
  <c r="C44" i="7"/>
  <c r="J42" i="15"/>
  <c r="B46" i="7"/>
  <c r="D46" i="7"/>
  <c r="H44" i="7"/>
  <c r="G45" i="7"/>
  <c r="A48" i="7"/>
  <c r="V30" i="4"/>
  <c r="N26" i="7"/>
  <c r="K9" i="16"/>
  <c r="F47" i="7"/>
  <c r="H5" i="5"/>
  <c r="AA22" i="5"/>
  <c r="AC22" i="5" s="1"/>
  <c r="AD22" i="5" s="1"/>
  <c r="H5" i="16"/>
  <c r="K47" i="7"/>
  <c r="J49" i="7"/>
  <c r="H41" i="3"/>
  <c r="H42" i="3" s="1"/>
  <c r="N46" i="7"/>
  <c r="J49" i="3"/>
  <c r="Z7" i="4"/>
  <c r="B49" i="7"/>
  <c r="AB23" i="15"/>
  <c r="Y22" i="5"/>
  <c r="N45" i="7"/>
  <c r="N50" i="7" s="1"/>
  <c r="K22" i="16"/>
  <c r="K46" i="7"/>
  <c r="E46" i="7"/>
  <c r="I48" i="7"/>
  <c r="K23" i="3"/>
  <c r="B47" i="7"/>
  <c r="K49" i="7"/>
  <c r="C47" i="7"/>
  <c r="L48" i="7"/>
  <c r="Y30" i="15"/>
  <c r="H22" i="3"/>
  <c r="E21" i="3"/>
  <c r="D22" i="3" s="1"/>
  <c r="H42" i="5"/>
  <c r="I41" i="5"/>
  <c r="W22" i="5" s="1"/>
  <c r="J44" i="15"/>
  <c r="H6" i="3"/>
  <c r="I5" i="3"/>
  <c r="Y24" i="5"/>
  <c r="K22" i="5"/>
  <c r="J44" i="4"/>
  <c r="K8" i="5"/>
  <c r="G47" i="7"/>
  <c r="Y25" i="5"/>
  <c r="Y33" i="5" s="1"/>
  <c r="AC24" i="4"/>
  <c r="AD24" i="4" s="1"/>
  <c r="K22" i="3"/>
  <c r="K23" i="4"/>
  <c r="V30" i="3"/>
  <c r="N25" i="7"/>
  <c r="K46" i="4"/>
  <c r="AA22" i="15"/>
  <c r="AE22" i="15" s="1"/>
  <c r="I46" i="7"/>
  <c r="Y27" i="4"/>
  <c r="AB27" i="15"/>
  <c r="AA27" i="15"/>
  <c r="AE27" i="15" s="1"/>
  <c r="AA21" i="4"/>
  <c r="AB21" i="4"/>
  <c r="Y29" i="15"/>
  <c r="K48" i="7"/>
  <c r="Z29" i="4"/>
  <c r="Z29" i="15"/>
  <c r="AA29" i="3"/>
  <c r="J34" i="7"/>
  <c r="J44" i="16"/>
  <c r="K6" i="5"/>
  <c r="U30" i="15"/>
  <c r="N18" i="7"/>
  <c r="K24" i="15"/>
  <c r="AC30" i="3"/>
  <c r="AD30" i="3" s="1"/>
  <c r="AE30" i="3"/>
  <c r="F48" i="7"/>
  <c r="K6" i="4"/>
  <c r="N19" i="7"/>
  <c r="U30" i="16"/>
  <c r="H8" i="4"/>
  <c r="H47" i="7"/>
  <c r="M31" i="15"/>
  <c r="Z24" i="15"/>
  <c r="AA24" i="15" s="1"/>
  <c r="Z24" i="5"/>
  <c r="AA24" i="5" s="1"/>
  <c r="Z20" i="5"/>
  <c r="AA20" i="5" s="1"/>
  <c r="AA20" i="3"/>
  <c r="Y22" i="15"/>
  <c r="M48" i="7" s="1"/>
  <c r="D48" i="7"/>
  <c r="E21" i="5"/>
  <c r="D22" i="5" s="1"/>
  <c r="H22" i="5"/>
  <c r="I22" i="5" s="1"/>
  <c r="E39" i="5"/>
  <c r="D40" i="5" s="1"/>
  <c r="E47" i="7"/>
  <c r="K22" i="15"/>
  <c r="K8" i="4"/>
  <c r="J46" i="4"/>
  <c r="AA21" i="15"/>
  <c r="K7" i="4"/>
  <c r="Z22" i="4"/>
  <c r="N17" i="7"/>
  <c r="K24" i="4"/>
  <c r="AB27" i="4"/>
  <c r="AE27" i="4" s="1"/>
  <c r="B48" i="7"/>
  <c r="Z30" i="15"/>
  <c r="AB30" i="15" s="1"/>
  <c r="AE30" i="15" s="1"/>
  <c r="K45" i="15"/>
  <c r="AE23" i="16"/>
  <c r="AC23" i="16"/>
  <c r="AD23" i="16" s="1"/>
  <c r="A46" i="7"/>
  <c r="N16" i="7"/>
  <c r="A47" i="7"/>
  <c r="L34" i="7"/>
  <c r="AB22" i="3"/>
  <c r="AA23" i="4"/>
  <c r="H22" i="15"/>
  <c r="J46" i="3"/>
  <c r="J46" i="15"/>
  <c r="J14" i="4"/>
  <c r="N14" i="7"/>
  <c r="J5" i="16"/>
  <c r="J11" i="3"/>
  <c r="J14" i="15"/>
  <c r="J14" i="3"/>
  <c r="J8" i="16"/>
  <c r="J5" i="3"/>
  <c r="J7" i="16"/>
  <c r="J8" i="15"/>
  <c r="H14" i="7"/>
  <c r="J8" i="3"/>
  <c r="J7" i="5"/>
  <c r="J6" i="3"/>
  <c r="J8" i="5"/>
  <c r="I14" i="7"/>
  <c r="J6" i="4"/>
  <c r="J7" i="3"/>
  <c r="J6" i="15"/>
  <c r="J8" i="4"/>
  <c r="J7" i="4"/>
  <c r="J6" i="5"/>
  <c r="K14" i="7"/>
  <c r="J9" i="5"/>
  <c r="J9" i="3"/>
  <c r="J9" i="15"/>
  <c r="J9" i="16"/>
  <c r="Z7" i="15"/>
  <c r="Z6" i="15"/>
  <c r="B45" i="7"/>
  <c r="Y20" i="3"/>
  <c r="Y26" i="15"/>
  <c r="H48" i="7"/>
  <c r="AB25" i="4"/>
  <c r="AA25" i="4"/>
  <c r="AA26" i="16"/>
  <c r="AB26" i="16"/>
  <c r="Z19" i="16"/>
  <c r="Z19" i="4"/>
  <c r="AB19" i="3"/>
  <c r="Z19" i="5"/>
  <c r="AA19" i="3"/>
  <c r="Z19" i="15"/>
  <c r="Z7" i="3"/>
  <c r="Z6" i="3"/>
  <c r="Z5" i="3"/>
  <c r="AB21" i="16"/>
  <c r="AA21" i="16"/>
  <c r="M14" i="3"/>
  <c r="K9" i="3"/>
  <c r="K6" i="3"/>
  <c r="Z25" i="16"/>
  <c r="AB25" i="3"/>
  <c r="Z25" i="15"/>
  <c r="AA25" i="3"/>
  <c r="Z25" i="5"/>
  <c r="J9" i="4"/>
  <c r="U30" i="3"/>
  <c r="B21" i="26"/>
  <c r="B32" i="27" s="1"/>
  <c r="N15" i="7"/>
  <c r="Z28" i="15"/>
  <c r="Z28" i="5"/>
  <c r="Z28" i="4"/>
  <c r="AA28" i="3"/>
  <c r="AB28" i="3"/>
  <c r="Z28" i="16"/>
  <c r="AC23" i="15"/>
  <c r="AD23" i="15" s="1"/>
  <c r="AE23" i="15"/>
  <c r="J10" i="15"/>
  <c r="J10" i="3"/>
  <c r="J10" i="4"/>
  <c r="J10" i="5"/>
  <c r="J10" i="16"/>
  <c r="L14" i="7"/>
  <c r="I22" i="4"/>
  <c r="H23" i="4"/>
  <c r="Z26" i="4"/>
  <c r="AB26" i="3"/>
  <c r="Z26" i="15"/>
  <c r="AA26" i="3"/>
  <c r="Z26" i="5"/>
  <c r="AA23" i="5"/>
  <c r="AB23" i="5"/>
  <c r="Y25" i="16"/>
  <c r="Y33" i="16" s="1"/>
  <c r="G49" i="7"/>
  <c r="J49" i="16"/>
  <c r="O34" i="7"/>
  <c r="J49" i="5"/>
  <c r="J49" i="4"/>
  <c r="AB27" i="16"/>
  <c r="AA27" i="16"/>
  <c r="I16" i="7"/>
  <c r="U21" i="4"/>
  <c r="E52" i="27"/>
  <c r="D52" i="27"/>
  <c r="F52" i="27" s="1"/>
  <c r="AE22" i="5"/>
  <c r="I5" i="4"/>
  <c r="Y27" i="5"/>
  <c r="I47" i="7"/>
  <c r="K44" i="3"/>
  <c r="K45" i="3"/>
  <c r="K43" i="3"/>
  <c r="K47" i="3"/>
  <c r="A45" i="7"/>
  <c r="Y19" i="3"/>
  <c r="Y23" i="3"/>
  <c r="E45" i="7"/>
  <c r="K26" i="3"/>
  <c r="K24" i="3"/>
  <c r="M31" i="4"/>
  <c r="K25" i="4"/>
  <c r="M52" i="5"/>
  <c r="Y21" i="4"/>
  <c r="C46" i="7"/>
  <c r="M52" i="3"/>
  <c r="Y24" i="3"/>
  <c r="F45" i="7"/>
  <c r="K8" i="15"/>
  <c r="K5" i="15"/>
  <c r="K9" i="15"/>
  <c r="K7" i="15"/>
  <c r="M14" i="15"/>
  <c r="K43" i="16"/>
  <c r="M52" i="16"/>
  <c r="K45" i="16"/>
  <c r="K47" i="16"/>
  <c r="K44" i="16"/>
  <c r="K46" i="16"/>
  <c r="K25" i="3"/>
  <c r="K9" i="4"/>
  <c r="K5" i="4"/>
  <c r="K26" i="4"/>
  <c r="K43" i="4"/>
  <c r="K26" i="5"/>
  <c r="H41" i="4"/>
  <c r="E39" i="4"/>
  <c r="D40" i="4" s="1"/>
  <c r="H41" i="16"/>
  <c r="E39" i="16"/>
  <c r="D40" i="16" s="1"/>
  <c r="K46" i="15"/>
  <c r="K26" i="15"/>
  <c r="H23" i="5"/>
  <c r="AC27" i="5"/>
  <c r="AD27" i="5" s="1"/>
  <c r="Y29" i="16"/>
  <c r="AB24" i="15"/>
  <c r="E48" i="7"/>
  <c r="Y23" i="15"/>
  <c r="E21" i="4"/>
  <c r="D22" i="4" s="1"/>
  <c r="Y25" i="4"/>
  <c r="Y33" i="4" s="1"/>
  <c r="G46" i="7"/>
  <c r="K26" i="16"/>
  <c r="K24" i="16"/>
  <c r="K23" i="16"/>
  <c r="M14" i="16"/>
  <c r="K7" i="16"/>
  <c r="K47" i="4"/>
  <c r="K44" i="4"/>
  <c r="K45" i="4"/>
  <c r="K5" i="5"/>
  <c r="M14" i="5"/>
  <c r="K25" i="5"/>
  <c r="K45" i="5"/>
  <c r="K44" i="5"/>
  <c r="Y30" i="4"/>
  <c r="Y23" i="16"/>
  <c r="M49" i="7" s="1"/>
  <c r="E49" i="7"/>
  <c r="I45" i="7"/>
  <c r="AC27" i="3"/>
  <c r="AD27" i="3" s="1"/>
  <c r="Y27" i="3"/>
  <c r="G14" i="7"/>
  <c r="J5" i="15"/>
  <c r="J5" i="5"/>
  <c r="J43" i="5"/>
  <c r="J43" i="15"/>
  <c r="J43" i="16"/>
  <c r="Z6" i="5"/>
  <c r="Z5" i="5"/>
  <c r="Z7" i="5"/>
  <c r="AB29" i="4"/>
  <c r="AA29" i="4"/>
  <c r="K43" i="15"/>
  <c r="K47" i="15"/>
  <c r="K44" i="15"/>
  <c r="M52" i="15"/>
  <c r="M31" i="16"/>
  <c r="AA22" i="16"/>
  <c r="AB22" i="16"/>
  <c r="K5" i="3"/>
  <c r="O50" i="7"/>
  <c r="J45" i="7"/>
  <c r="Y28" i="3"/>
  <c r="AA21" i="5"/>
  <c r="AB21" i="5"/>
  <c r="Z24" i="16"/>
  <c r="AB24" i="3"/>
  <c r="AB20" i="3"/>
  <c r="Z20" i="16"/>
  <c r="Y22" i="3"/>
  <c r="D45" i="7"/>
  <c r="E4" i="15"/>
  <c r="D5" i="15" s="1"/>
  <c r="H5" i="15"/>
  <c r="Z20" i="15"/>
  <c r="H22" i="16"/>
  <c r="M31" i="3"/>
  <c r="L22" i="3" s="1"/>
  <c r="N26" i="3" s="1"/>
  <c r="O26" i="3" s="1"/>
  <c r="M14" i="4"/>
  <c r="K22" i="4"/>
  <c r="Z30" i="16"/>
  <c r="AB30" i="16" s="1"/>
  <c r="Z30" i="5"/>
  <c r="AB30" i="5" s="1"/>
  <c r="V30" i="16"/>
  <c r="N29" i="7"/>
  <c r="AE23" i="3"/>
  <c r="M14" i="7"/>
  <c r="J11" i="16"/>
  <c r="J11" i="5"/>
  <c r="Z6" i="4"/>
  <c r="K7" i="3"/>
  <c r="AA29" i="16"/>
  <c r="Z20" i="4"/>
  <c r="K5" i="16"/>
  <c r="K6" i="16"/>
  <c r="K8" i="16"/>
  <c r="M52" i="4"/>
  <c r="K7" i="5"/>
  <c r="K9" i="5"/>
  <c r="M31" i="5"/>
  <c r="K24" i="5"/>
  <c r="Y28" i="15"/>
  <c r="J48" i="7"/>
  <c r="Y24" i="16"/>
  <c r="F49" i="7"/>
  <c r="AB21" i="3"/>
  <c r="AA21" i="3"/>
  <c r="O48" i="7"/>
  <c r="F44" i="7"/>
  <c r="O46" i="7"/>
  <c r="C49" i="7"/>
  <c r="H46" i="7"/>
  <c r="J44" i="7"/>
  <c r="L49" i="7"/>
  <c r="A49" i="7"/>
  <c r="I44" i="7"/>
  <c r="D49" i="7"/>
  <c r="Z6" i="16"/>
  <c r="K8" i="3"/>
  <c r="Z30" i="4"/>
  <c r="AB30" i="4" s="1"/>
  <c r="AE30" i="4" s="1"/>
  <c r="K25" i="15"/>
  <c r="K23" i="15"/>
  <c r="AB29" i="3"/>
  <c r="Z29" i="5"/>
  <c r="AA24" i="3"/>
  <c r="Y21" i="5"/>
  <c r="M47" i="7" s="1"/>
  <c r="C45" i="7"/>
  <c r="Y21" i="3"/>
  <c r="H42" i="15" l="1"/>
  <c r="L22" i="16"/>
  <c r="N24" i="16" s="1"/>
  <c r="I41" i="3"/>
  <c r="W22" i="3" s="1"/>
  <c r="I5" i="5"/>
  <c r="H6" i="5"/>
  <c r="N29" i="16"/>
  <c r="N22" i="16"/>
  <c r="O22" i="16" s="1"/>
  <c r="P22" i="16" s="1"/>
  <c r="Q22" i="16" s="1"/>
  <c r="R22" i="16" s="1"/>
  <c r="L22" i="15"/>
  <c r="N22" i="15" s="1"/>
  <c r="O22" i="15" s="1"/>
  <c r="P22" i="15" s="1"/>
  <c r="Q22" i="15" s="1"/>
  <c r="R22" i="15" s="1"/>
  <c r="N23" i="3"/>
  <c r="N22" i="3"/>
  <c r="H6" i="16"/>
  <c r="I5" i="16"/>
  <c r="AE22" i="3"/>
  <c r="AC22" i="3"/>
  <c r="AD22" i="3" s="1"/>
  <c r="H9" i="4"/>
  <c r="I8" i="4"/>
  <c r="AC20" i="3"/>
  <c r="AD20" i="3" s="1"/>
  <c r="H43" i="5"/>
  <c r="I42" i="5"/>
  <c r="AC21" i="4"/>
  <c r="AD21" i="4" s="1"/>
  <c r="AB20" i="5"/>
  <c r="AE20" i="5" s="1"/>
  <c r="AE21" i="4"/>
  <c r="I22" i="3"/>
  <c r="H23" i="3"/>
  <c r="L22" i="5"/>
  <c r="AB24" i="5"/>
  <c r="AA22" i="4"/>
  <c r="AB22" i="4"/>
  <c r="AE29" i="3"/>
  <c r="AC30" i="4"/>
  <c r="AD30" i="4" s="1"/>
  <c r="AC27" i="4"/>
  <c r="AD27" i="4" s="1"/>
  <c r="AC22" i="15"/>
  <c r="AD22" i="15" s="1"/>
  <c r="L22" i="4"/>
  <c r="N25" i="4" s="1"/>
  <c r="O25" i="4" s="1"/>
  <c r="P25" i="4" s="1"/>
  <c r="Q25" i="4" s="1"/>
  <c r="R25" i="4" s="1"/>
  <c r="H23" i="15"/>
  <c r="I22" i="15"/>
  <c r="AA29" i="15"/>
  <c r="AB29" i="15"/>
  <c r="B10" i="26"/>
  <c r="G15" i="7"/>
  <c r="U19" i="3"/>
  <c r="N28" i="4"/>
  <c r="O28" i="4" s="1"/>
  <c r="P28" i="4" s="1"/>
  <c r="Q28" i="4" s="1"/>
  <c r="R28" i="4" s="1"/>
  <c r="P26" i="3"/>
  <c r="Q26" i="3" s="1"/>
  <c r="R26" i="3" s="1"/>
  <c r="N28" i="3"/>
  <c r="O28" i="3" s="1"/>
  <c r="P28" i="3" s="1"/>
  <c r="Q28" i="3" s="1"/>
  <c r="R28" i="3" s="1"/>
  <c r="AC27" i="15"/>
  <c r="AD27" i="15" s="1"/>
  <c r="AC23" i="4"/>
  <c r="AD23" i="4" s="1"/>
  <c r="AE23" i="4"/>
  <c r="AE21" i="15"/>
  <c r="AC21" i="15"/>
  <c r="AD21" i="15" s="1"/>
  <c r="H7" i="3"/>
  <c r="I6" i="3"/>
  <c r="AC30" i="15"/>
  <c r="AD30" i="15" s="1"/>
  <c r="AE21" i="3"/>
  <c r="AC21" i="3"/>
  <c r="AD21" i="3" s="1"/>
  <c r="AB20" i="15"/>
  <c r="AA20" i="15"/>
  <c r="L5" i="5"/>
  <c r="N11" i="5" s="1"/>
  <c r="O11" i="5" s="1"/>
  <c r="P11" i="5" s="1"/>
  <c r="Q11" i="5" s="1"/>
  <c r="R11" i="5" s="1"/>
  <c r="AB26" i="5"/>
  <c r="AA26" i="5"/>
  <c r="AE28" i="3"/>
  <c r="AC28" i="3"/>
  <c r="AD28" i="3" s="1"/>
  <c r="AA25" i="15"/>
  <c r="AB25" i="15"/>
  <c r="AC21" i="16"/>
  <c r="AD21" i="16" s="1"/>
  <c r="AE21" i="16"/>
  <c r="AC22" i="16"/>
  <c r="AD22" i="16" s="1"/>
  <c r="AE22" i="16"/>
  <c r="H43" i="3"/>
  <c r="I42" i="3"/>
  <c r="AA28" i="5"/>
  <c r="AB28" i="5"/>
  <c r="AB25" i="16"/>
  <c r="AA25" i="16"/>
  <c r="N25" i="16"/>
  <c r="O25" i="16" s="1"/>
  <c r="P25" i="16" s="1"/>
  <c r="Q25" i="16" s="1"/>
  <c r="R25" i="16" s="1"/>
  <c r="N23" i="16"/>
  <c r="N28" i="16"/>
  <c r="O28" i="16" s="1"/>
  <c r="P28" i="16" s="1"/>
  <c r="Q28" i="16" s="1"/>
  <c r="R28" i="16" s="1"/>
  <c r="I41" i="4"/>
  <c r="W22" i="4" s="1"/>
  <c r="H42" i="4"/>
  <c r="L43" i="15"/>
  <c r="N49" i="15" s="1"/>
  <c r="O49" i="15" s="1"/>
  <c r="P49" i="15" s="1"/>
  <c r="Q49" i="15" s="1"/>
  <c r="R49" i="15" s="1"/>
  <c r="I41" i="16"/>
  <c r="W22" i="16" s="1"/>
  <c r="H42" i="16"/>
  <c r="N27" i="5"/>
  <c r="O27" i="5" s="1"/>
  <c r="P27" i="5" s="1"/>
  <c r="Q27" i="5" s="1"/>
  <c r="R27" i="5" s="1"/>
  <c r="N26" i="5"/>
  <c r="O26" i="5" s="1"/>
  <c r="P26" i="5" s="1"/>
  <c r="Q26" i="5" s="1"/>
  <c r="R26" i="5" s="1"/>
  <c r="AB26" i="4"/>
  <c r="AA26" i="4"/>
  <c r="I23" i="4"/>
  <c r="H24" i="4"/>
  <c r="I42" i="15"/>
  <c r="H43" i="15"/>
  <c r="AA19" i="16"/>
  <c r="AB19" i="16"/>
  <c r="AE30" i="5"/>
  <c r="AC30" i="5"/>
  <c r="AD30" i="5" s="1"/>
  <c r="AA24" i="16"/>
  <c r="AB24" i="16"/>
  <c r="L5" i="16"/>
  <c r="N9" i="16" s="1"/>
  <c r="O9" i="16" s="1"/>
  <c r="P9" i="16" s="1"/>
  <c r="Q9" i="16" s="1"/>
  <c r="R9" i="16" s="1"/>
  <c r="I23" i="5"/>
  <c r="H24" i="5"/>
  <c r="O23" i="3"/>
  <c r="P23" i="3" s="1"/>
  <c r="Q23" i="3" s="1"/>
  <c r="R23" i="3" s="1"/>
  <c r="N42" i="16"/>
  <c r="O42" i="16" s="1"/>
  <c r="P42" i="16" s="1"/>
  <c r="Q42" i="16" s="1"/>
  <c r="R42" i="16" s="1"/>
  <c r="L43" i="4"/>
  <c r="N48" i="4" s="1"/>
  <c r="O48" i="4" s="1"/>
  <c r="P48" i="4" s="1"/>
  <c r="Q48" i="4" s="1"/>
  <c r="R48" i="4" s="1"/>
  <c r="AE21" i="5"/>
  <c r="AC21" i="5"/>
  <c r="AD21" i="5" s="1"/>
  <c r="O29" i="16"/>
  <c r="AB26" i="15"/>
  <c r="AA26" i="15"/>
  <c r="N26" i="16"/>
  <c r="O26" i="16" s="1"/>
  <c r="P26" i="16" s="1"/>
  <c r="Q26" i="16" s="1"/>
  <c r="R26" i="16" s="1"/>
  <c r="I22" i="16"/>
  <c r="H23" i="16"/>
  <c r="AB20" i="16"/>
  <c r="AA20" i="16"/>
  <c r="AE24" i="5"/>
  <c r="AC24" i="5"/>
  <c r="AD24" i="5" s="1"/>
  <c r="AE20" i="3"/>
  <c r="N25" i="3"/>
  <c r="O25" i="3" s="1"/>
  <c r="P25" i="3" s="1"/>
  <c r="Q25" i="3" s="1"/>
  <c r="R25" i="3" s="1"/>
  <c r="V19" i="4"/>
  <c r="G26" i="7"/>
  <c r="H6" i="15"/>
  <c r="I5" i="15"/>
  <c r="O22" i="3"/>
  <c r="P22" i="3" s="1"/>
  <c r="Q22" i="3" s="1"/>
  <c r="R22" i="3" s="1"/>
  <c r="AE26" i="3"/>
  <c r="AC26" i="3"/>
  <c r="AD26" i="3" s="1"/>
  <c r="AB19" i="5"/>
  <c r="AA19" i="5"/>
  <c r="AE29" i="4"/>
  <c r="AC29" i="4"/>
  <c r="AD29" i="4" s="1"/>
  <c r="L43" i="3"/>
  <c r="N46" i="3" s="1"/>
  <c r="O46" i="3" s="1"/>
  <c r="P46" i="3" s="1"/>
  <c r="Q46" i="3" s="1"/>
  <c r="R46" i="3" s="1"/>
  <c r="U19" i="4"/>
  <c r="G16" i="7"/>
  <c r="AB28" i="15"/>
  <c r="AA28" i="15"/>
  <c r="N7" i="16"/>
  <c r="O7" i="16" s="1"/>
  <c r="P7" i="16" s="1"/>
  <c r="Q7" i="16" s="1"/>
  <c r="R7" i="16" s="1"/>
  <c r="N6" i="16"/>
  <c r="O6" i="16" s="1"/>
  <c r="P6" i="16" s="1"/>
  <c r="Q6" i="16" s="1"/>
  <c r="R6" i="16" s="1"/>
  <c r="N11" i="16"/>
  <c r="O11" i="16" s="1"/>
  <c r="P11" i="16" s="1"/>
  <c r="Q11" i="16" s="1"/>
  <c r="R11" i="16" s="1"/>
  <c r="N5" i="16"/>
  <c r="O5" i="16" s="1"/>
  <c r="P5" i="16" s="1"/>
  <c r="Q5" i="16" s="1"/>
  <c r="R5" i="16" s="1"/>
  <c r="N12" i="16"/>
  <c r="N10" i="16"/>
  <c r="O10" i="16" s="1"/>
  <c r="P10" i="16" s="1"/>
  <c r="Q10" i="16" s="1"/>
  <c r="R10" i="16" s="1"/>
  <c r="N8" i="16"/>
  <c r="O8" i="16" s="1"/>
  <c r="P8" i="16" s="1"/>
  <c r="Q8" i="16" s="1"/>
  <c r="R8" i="16" s="1"/>
  <c r="AC24" i="3"/>
  <c r="AD24" i="3" s="1"/>
  <c r="AE24" i="3"/>
  <c r="AB20" i="4"/>
  <c r="AA20" i="4"/>
  <c r="AC29" i="3"/>
  <c r="AD29" i="3" s="1"/>
  <c r="N27" i="3"/>
  <c r="O27" i="3" s="1"/>
  <c r="P27" i="3" s="1"/>
  <c r="Q27" i="3" s="1"/>
  <c r="R27" i="3" s="1"/>
  <c r="AE24" i="15"/>
  <c r="AC24" i="15"/>
  <c r="AD24" i="15" s="1"/>
  <c r="N43" i="4"/>
  <c r="O43" i="4" s="1"/>
  <c r="P43" i="4" s="1"/>
  <c r="Q43" i="4" s="1"/>
  <c r="R43" i="4" s="1"/>
  <c r="N47" i="4"/>
  <c r="O47" i="4" s="1"/>
  <c r="P47" i="4" s="1"/>
  <c r="Q47" i="4" s="1"/>
  <c r="R47" i="4" s="1"/>
  <c r="L43" i="5"/>
  <c r="N29" i="3"/>
  <c r="AB28" i="16"/>
  <c r="AA28" i="16"/>
  <c r="AB25" i="5"/>
  <c r="AA25" i="5"/>
  <c r="AE26" i="16"/>
  <c r="AC26" i="16"/>
  <c r="AD26" i="16" s="1"/>
  <c r="L43" i="16"/>
  <c r="N44" i="16" s="1"/>
  <c r="O44" i="16" s="1"/>
  <c r="P44" i="16" s="1"/>
  <c r="Q44" i="16" s="1"/>
  <c r="R44" i="16" s="1"/>
  <c r="AC19" i="3"/>
  <c r="AD19" i="3" s="1"/>
  <c r="AE19" i="3"/>
  <c r="AC30" i="16"/>
  <c r="AD30" i="16" s="1"/>
  <c r="AE30" i="16"/>
  <c r="O24" i="16"/>
  <c r="P24" i="16" s="1"/>
  <c r="Q24" i="16" s="1"/>
  <c r="R24" i="16" s="1"/>
  <c r="AA28" i="4"/>
  <c r="AB28" i="4"/>
  <c r="N27" i="4"/>
  <c r="O27" i="4" s="1"/>
  <c r="P27" i="4" s="1"/>
  <c r="Q27" i="4" s="1"/>
  <c r="R27" i="4" s="1"/>
  <c r="N22" i="4"/>
  <c r="N26" i="4"/>
  <c r="O26" i="4" s="1"/>
  <c r="P26" i="4" s="1"/>
  <c r="Q26" i="4" s="1"/>
  <c r="R26" i="4" s="1"/>
  <c r="L5" i="15"/>
  <c r="N7" i="15" s="1"/>
  <c r="O7" i="15" s="1"/>
  <c r="P7" i="15" s="1"/>
  <c r="Q7" i="15" s="1"/>
  <c r="R7" i="15" s="1"/>
  <c r="L5" i="4"/>
  <c r="N5" i="4" s="1"/>
  <c r="O5" i="4" s="1"/>
  <c r="P5" i="4" s="1"/>
  <c r="Q5" i="4" s="1"/>
  <c r="R5" i="4" s="1"/>
  <c r="AE27" i="16"/>
  <c r="AC27" i="16"/>
  <c r="AD27" i="16" s="1"/>
  <c r="AA19" i="4"/>
  <c r="AB19" i="4"/>
  <c r="AB29" i="5"/>
  <c r="AA29" i="5"/>
  <c r="N25" i="5"/>
  <c r="O25" i="5" s="1"/>
  <c r="P25" i="5" s="1"/>
  <c r="Q25" i="5" s="1"/>
  <c r="R25" i="5" s="1"/>
  <c r="N29" i="5"/>
  <c r="AC29" i="16"/>
  <c r="AD29" i="16" s="1"/>
  <c r="AE29" i="16"/>
  <c r="N42" i="15"/>
  <c r="O42" i="15" s="1"/>
  <c r="P42" i="15" s="1"/>
  <c r="Q42" i="15" s="1"/>
  <c r="R42" i="15" s="1"/>
  <c r="V19" i="5"/>
  <c r="G27" i="7"/>
  <c r="M45" i="7"/>
  <c r="Y32" i="3"/>
  <c r="N27" i="16"/>
  <c r="O27" i="16" s="1"/>
  <c r="P27" i="16" s="1"/>
  <c r="Q27" i="16" s="1"/>
  <c r="R27" i="16" s="1"/>
  <c r="AC23" i="5"/>
  <c r="AD23" i="5" s="1"/>
  <c r="AE23" i="5"/>
  <c r="N24" i="3"/>
  <c r="O24" i="3" s="1"/>
  <c r="P24" i="3" s="1"/>
  <c r="Q24" i="3" s="1"/>
  <c r="R24" i="3" s="1"/>
  <c r="E32" i="27"/>
  <c r="D32" i="27"/>
  <c r="AE25" i="3"/>
  <c r="AC25" i="3"/>
  <c r="AD25" i="3" s="1"/>
  <c r="L5" i="3"/>
  <c r="N12" i="3" s="1"/>
  <c r="AB19" i="15"/>
  <c r="AA19" i="15"/>
  <c r="AC25" i="4"/>
  <c r="AD25" i="4" s="1"/>
  <c r="AE25" i="4"/>
  <c r="N27" i="15" l="1"/>
  <c r="O27" i="15" s="1"/>
  <c r="P27" i="15" s="1"/>
  <c r="Q27" i="15" s="1"/>
  <c r="R27" i="15" s="1"/>
  <c r="N26" i="15"/>
  <c r="O26" i="15" s="1"/>
  <c r="P26" i="15" s="1"/>
  <c r="Q26" i="15" s="1"/>
  <c r="R26" i="15" s="1"/>
  <c r="N28" i="15"/>
  <c r="O28" i="15" s="1"/>
  <c r="P28" i="15" s="1"/>
  <c r="Q28" i="15" s="1"/>
  <c r="R28" i="15" s="1"/>
  <c r="N7" i="5"/>
  <c r="O7" i="5" s="1"/>
  <c r="P7" i="5" s="1"/>
  <c r="Q7" i="5" s="1"/>
  <c r="R7" i="5" s="1"/>
  <c r="N44" i="15"/>
  <c r="O44" i="15" s="1"/>
  <c r="P44" i="15" s="1"/>
  <c r="Q44" i="15" s="1"/>
  <c r="R44" i="15" s="1"/>
  <c r="AC20" i="5"/>
  <c r="AD20" i="5" s="1"/>
  <c r="N43" i="15"/>
  <c r="O43" i="15" s="1"/>
  <c r="P43" i="15" s="1"/>
  <c r="Q43" i="15" s="1"/>
  <c r="R43" i="15" s="1"/>
  <c r="N24" i="15"/>
  <c r="O24" i="15" s="1"/>
  <c r="P24" i="15" s="1"/>
  <c r="Q24" i="15" s="1"/>
  <c r="R24" i="15" s="1"/>
  <c r="N46" i="15"/>
  <c r="O46" i="15" s="1"/>
  <c r="P46" i="15" s="1"/>
  <c r="Q46" i="15" s="1"/>
  <c r="R46" i="15" s="1"/>
  <c r="N25" i="15"/>
  <c r="O25" i="15" s="1"/>
  <c r="P25" i="15" s="1"/>
  <c r="Q25" i="15" s="1"/>
  <c r="R25" i="15" s="1"/>
  <c r="N45" i="15"/>
  <c r="O45" i="15" s="1"/>
  <c r="P45" i="15" s="1"/>
  <c r="Q45" i="15" s="1"/>
  <c r="R45" i="15" s="1"/>
  <c r="N44" i="4"/>
  <c r="O44" i="4" s="1"/>
  <c r="P44" i="4" s="1"/>
  <c r="Q44" i="4" s="1"/>
  <c r="R44" i="4" s="1"/>
  <c r="N29" i="15"/>
  <c r="N31" i="15" s="1"/>
  <c r="L23" i="15" s="1"/>
  <c r="N23" i="15"/>
  <c r="N48" i="15"/>
  <c r="O48" i="15" s="1"/>
  <c r="P48" i="15" s="1"/>
  <c r="Q48" i="15" s="1"/>
  <c r="R48" i="15" s="1"/>
  <c r="N47" i="16"/>
  <c r="O47" i="16" s="1"/>
  <c r="P47" i="16" s="1"/>
  <c r="Q47" i="16" s="1"/>
  <c r="R47" i="16" s="1"/>
  <c r="N50" i="16"/>
  <c r="N10" i="3"/>
  <c r="O10" i="3" s="1"/>
  <c r="P10" i="3" s="1"/>
  <c r="Q10" i="3" s="1"/>
  <c r="R10" i="3" s="1"/>
  <c r="N8" i="15"/>
  <c r="O8" i="15" s="1"/>
  <c r="P8" i="15" s="1"/>
  <c r="Q8" i="15" s="1"/>
  <c r="R8" i="15" s="1"/>
  <c r="N7" i="3"/>
  <c r="O7" i="3" s="1"/>
  <c r="P7" i="3" s="1"/>
  <c r="Q7" i="3" s="1"/>
  <c r="R7" i="3" s="1"/>
  <c r="N5" i="15"/>
  <c r="O5" i="15" s="1"/>
  <c r="P5" i="15" s="1"/>
  <c r="Q5" i="15" s="1"/>
  <c r="R5" i="15" s="1"/>
  <c r="AC29" i="15"/>
  <c r="AD29" i="15" s="1"/>
  <c r="G19" i="7"/>
  <c r="U19" i="16"/>
  <c r="N48" i="3"/>
  <c r="O48" i="3" s="1"/>
  <c r="P48" i="3" s="1"/>
  <c r="Q48" i="3" s="1"/>
  <c r="R48" i="3" s="1"/>
  <c r="H7" i="16"/>
  <c r="I6" i="16"/>
  <c r="H7" i="5"/>
  <c r="I6" i="5"/>
  <c r="G17" i="7"/>
  <c r="U19" i="5"/>
  <c r="N47" i="3"/>
  <c r="O47" i="3" s="1"/>
  <c r="P47" i="3" s="1"/>
  <c r="Q47" i="3" s="1"/>
  <c r="R47" i="3" s="1"/>
  <c r="AC22" i="4"/>
  <c r="AD22" i="4" s="1"/>
  <c r="AE22" i="4"/>
  <c r="N11" i="4"/>
  <c r="O11" i="4" s="1"/>
  <c r="P11" i="4" s="1"/>
  <c r="Q11" i="4" s="1"/>
  <c r="R11" i="4" s="1"/>
  <c r="I23" i="15"/>
  <c r="H24" i="15"/>
  <c r="H44" i="5"/>
  <c r="I43" i="5"/>
  <c r="N8" i="4"/>
  <c r="O8" i="4" s="1"/>
  <c r="P8" i="4" s="1"/>
  <c r="Q8" i="4" s="1"/>
  <c r="R8" i="4" s="1"/>
  <c r="N9" i="15"/>
  <c r="O9" i="15" s="1"/>
  <c r="P9" i="15" s="1"/>
  <c r="Q9" i="15" s="1"/>
  <c r="R9" i="15" s="1"/>
  <c r="N50" i="3"/>
  <c r="I7" i="3"/>
  <c r="H8" i="3"/>
  <c r="N29" i="4"/>
  <c r="O29" i="4" s="1"/>
  <c r="N6" i="4"/>
  <c r="O6" i="4" s="1"/>
  <c r="P6" i="4" s="1"/>
  <c r="Q6" i="4" s="1"/>
  <c r="R6" i="4" s="1"/>
  <c r="I23" i="3"/>
  <c r="H24" i="3"/>
  <c r="N24" i="4"/>
  <c r="O24" i="4" s="1"/>
  <c r="P24" i="4" s="1"/>
  <c r="Q24" i="4" s="1"/>
  <c r="R24" i="4" s="1"/>
  <c r="V19" i="3"/>
  <c r="G25" i="7"/>
  <c r="C10" i="26"/>
  <c r="N5" i="3"/>
  <c r="O5" i="3" s="1"/>
  <c r="P5" i="3" s="1"/>
  <c r="Q5" i="3" s="1"/>
  <c r="R5" i="3" s="1"/>
  <c r="N23" i="4"/>
  <c r="O23" i="4" s="1"/>
  <c r="P23" i="4" s="1"/>
  <c r="Q23" i="4" s="1"/>
  <c r="R23" i="4" s="1"/>
  <c r="N10" i="5"/>
  <c r="O10" i="5" s="1"/>
  <c r="P10" i="5" s="1"/>
  <c r="Q10" i="5" s="1"/>
  <c r="R10" i="5" s="1"/>
  <c r="B21" i="27"/>
  <c r="G22" i="3"/>
  <c r="G28" i="7"/>
  <c r="V19" i="15"/>
  <c r="H37" i="7"/>
  <c r="G37" i="7" s="1"/>
  <c r="W23" i="5"/>
  <c r="N43" i="3"/>
  <c r="O43" i="3" s="1"/>
  <c r="P43" i="3" s="1"/>
  <c r="Q43" i="3" s="1"/>
  <c r="R43" i="3" s="1"/>
  <c r="H15" i="7"/>
  <c r="B11" i="26"/>
  <c r="U20" i="3"/>
  <c r="N24" i="5"/>
  <c r="O24" i="5" s="1"/>
  <c r="P24" i="5" s="1"/>
  <c r="Q24" i="5" s="1"/>
  <c r="R24" i="5" s="1"/>
  <c r="N23" i="5"/>
  <c r="O23" i="5" s="1"/>
  <c r="P23" i="5" s="1"/>
  <c r="Q23" i="5" s="1"/>
  <c r="R23" i="5" s="1"/>
  <c r="N28" i="5"/>
  <c r="O28" i="5" s="1"/>
  <c r="P28" i="5" s="1"/>
  <c r="Q28" i="5" s="1"/>
  <c r="R28" i="5" s="1"/>
  <c r="N22" i="5"/>
  <c r="U22" i="4"/>
  <c r="J16" i="7"/>
  <c r="H10" i="4"/>
  <c r="I9" i="4"/>
  <c r="N45" i="16"/>
  <c r="O45" i="16" s="1"/>
  <c r="P45" i="16" s="1"/>
  <c r="Q45" i="16" s="1"/>
  <c r="R45" i="16" s="1"/>
  <c r="N9" i="5"/>
  <c r="O9" i="5" s="1"/>
  <c r="P9" i="5" s="1"/>
  <c r="Q9" i="5" s="1"/>
  <c r="R9" i="5" s="1"/>
  <c r="AE29" i="15"/>
  <c r="AE24" i="16"/>
  <c r="AC24" i="16"/>
  <c r="AD24" i="16" s="1"/>
  <c r="O12" i="3"/>
  <c r="AD31" i="3"/>
  <c r="AE31" i="3" s="1"/>
  <c r="H26" i="7"/>
  <c r="V20" i="4"/>
  <c r="N50" i="15"/>
  <c r="N11" i="3"/>
  <c r="O11" i="3" s="1"/>
  <c r="P11" i="3" s="1"/>
  <c r="Q11" i="3" s="1"/>
  <c r="R11" i="3" s="1"/>
  <c r="AE28" i="4"/>
  <c r="AC28" i="4"/>
  <c r="AD28" i="4" s="1"/>
  <c r="N46" i="4"/>
  <c r="O46" i="4" s="1"/>
  <c r="P46" i="4" s="1"/>
  <c r="Q46" i="4" s="1"/>
  <c r="R46" i="4" s="1"/>
  <c r="AE28" i="15"/>
  <c r="AC28" i="15"/>
  <c r="AD28" i="15" s="1"/>
  <c r="N9" i="4"/>
  <c r="O9" i="4" s="1"/>
  <c r="P9" i="4" s="1"/>
  <c r="Q9" i="4" s="1"/>
  <c r="R9" i="4" s="1"/>
  <c r="N6" i="15"/>
  <c r="O6" i="15" s="1"/>
  <c r="P6" i="15" s="1"/>
  <c r="Q6" i="15" s="1"/>
  <c r="R6" i="15" s="1"/>
  <c r="P29" i="16"/>
  <c r="N48" i="16"/>
  <c r="O48" i="16" s="1"/>
  <c r="P48" i="16" s="1"/>
  <c r="Q48" i="16" s="1"/>
  <c r="R48" i="16" s="1"/>
  <c r="AE26" i="4"/>
  <c r="AC26" i="4"/>
  <c r="AD26" i="4" s="1"/>
  <c r="H43" i="16"/>
  <c r="I42" i="16"/>
  <c r="H43" i="4"/>
  <c r="I42" i="4"/>
  <c r="AC28" i="5"/>
  <c r="AD28" i="5" s="1"/>
  <c r="AE28" i="5"/>
  <c r="N49" i="3"/>
  <c r="O49" i="3" s="1"/>
  <c r="P49" i="3" s="1"/>
  <c r="Q49" i="3" s="1"/>
  <c r="R49" i="3" s="1"/>
  <c r="N6" i="5"/>
  <c r="O6" i="5" s="1"/>
  <c r="P6" i="5" s="1"/>
  <c r="Q6" i="5" s="1"/>
  <c r="R6" i="5" s="1"/>
  <c r="G29" i="7"/>
  <c r="V19" i="16"/>
  <c r="N31" i="3"/>
  <c r="L23" i="3" s="1"/>
  <c r="O29" i="3"/>
  <c r="N10" i="4"/>
  <c r="O10" i="4" s="1"/>
  <c r="P10" i="4" s="1"/>
  <c r="Q10" i="4" s="1"/>
  <c r="R10" i="4" s="1"/>
  <c r="O50" i="16"/>
  <c r="O50" i="3"/>
  <c r="AC20" i="15"/>
  <c r="AD20" i="15" s="1"/>
  <c r="AE20" i="15"/>
  <c r="O23" i="15"/>
  <c r="P23" i="15" s="1"/>
  <c r="Q23" i="15" s="1"/>
  <c r="R23" i="15" s="1"/>
  <c r="N47" i="15"/>
  <c r="O47" i="15" s="1"/>
  <c r="P47" i="15" s="1"/>
  <c r="Q47" i="15" s="1"/>
  <c r="R47" i="15" s="1"/>
  <c r="N6" i="3"/>
  <c r="O6" i="3" s="1"/>
  <c r="P6" i="3" s="1"/>
  <c r="Q6" i="3" s="1"/>
  <c r="R6" i="3" s="1"/>
  <c r="O29" i="5"/>
  <c r="AC25" i="5"/>
  <c r="AD25" i="5" s="1"/>
  <c r="AE25" i="5"/>
  <c r="N49" i="5"/>
  <c r="O49" i="5" s="1"/>
  <c r="P49" i="5" s="1"/>
  <c r="Q49" i="5" s="1"/>
  <c r="R49" i="5" s="1"/>
  <c r="N48" i="5"/>
  <c r="O48" i="5" s="1"/>
  <c r="P48" i="5" s="1"/>
  <c r="Q48" i="5" s="1"/>
  <c r="R48" i="5" s="1"/>
  <c r="N45" i="5"/>
  <c r="O45" i="5" s="1"/>
  <c r="P45" i="5" s="1"/>
  <c r="Q45" i="5" s="1"/>
  <c r="R45" i="5" s="1"/>
  <c r="N42" i="5"/>
  <c r="O42" i="5" s="1"/>
  <c r="P42" i="5" s="1"/>
  <c r="Q42" i="5" s="1"/>
  <c r="R42" i="5" s="1"/>
  <c r="N46" i="5"/>
  <c r="O46" i="5" s="1"/>
  <c r="P46" i="5" s="1"/>
  <c r="Q46" i="5" s="1"/>
  <c r="R46" i="5" s="1"/>
  <c r="N44" i="5"/>
  <c r="O44" i="5" s="1"/>
  <c r="P44" i="5" s="1"/>
  <c r="Q44" i="5" s="1"/>
  <c r="R44" i="5" s="1"/>
  <c r="N43" i="5"/>
  <c r="O43" i="5" s="1"/>
  <c r="P43" i="5" s="1"/>
  <c r="Q43" i="5" s="1"/>
  <c r="R43" i="5" s="1"/>
  <c r="N47" i="5"/>
  <c r="O47" i="5" s="1"/>
  <c r="P47" i="5" s="1"/>
  <c r="Q47" i="5" s="1"/>
  <c r="R47" i="5" s="1"/>
  <c r="N50" i="5"/>
  <c r="N50" i="4"/>
  <c r="N14" i="16"/>
  <c r="O12" i="16"/>
  <c r="N12" i="4"/>
  <c r="N10" i="15"/>
  <c r="O10" i="15" s="1"/>
  <c r="P10" i="15" s="1"/>
  <c r="Q10" i="15" s="1"/>
  <c r="R10" i="15" s="1"/>
  <c r="O29" i="15"/>
  <c r="AC20" i="16"/>
  <c r="AD20" i="16" s="1"/>
  <c r="AE20" i="16"/>
  <c r="N31" i="16"/>
  <c r="L23" i="16" s="1"/>
  <c r="N43" i="16"/>
  <c r="O43" i="16" s="1"/>
  <c r="P43" i="16" s="1"/>
  <c r="Q43" i="16" s="1"/>
  <c r="R43" i="16" s="1"/>
  <c r="G23" i="3"/>
  <c r="N42" i="3"/>
  <c r="O42" i="3" s="1"/>
  <c r="P42" i="3" s="1"/>
  <c r="Q42" i="3" s="1"/>
  <c r="R42" i="3" s="1"/>
  <c r="N44" i="3"/>
  <c r="O44" i="3" s="1"/>
  <c r="P44" i="3" s="1"/>
  <c r="Q44" i="3" s="1"/>
  <c r="R44" i="3" s="1"/>
  <c r="N5" i="5"/>
  <c r="O5" i="5" s="1"/>
  <c r="P5" i="5" s="1"/>
  <c r="Q5" i="5" s="1"/>
  <c r="R5" i="5" s="1"/>
  <c r="AE25" i="15"/>
  <c r="AC25" i="15"/>
  <c r="AD25" i="15" s="1"/>
  <c r="V20" i="5"/>
  <c r="H27" i="7"/>
  <c r="I43" i="15"/>
  <c r="H44" i="15"/>
  <c r="AE26" i="5"/>
  <c r="AC26" i="5"/>
  <c r="AD26" i="5" s="1"/>
  <c r="O22" i="4"/>
  <c r="P22" i="4" s="1"/>
  <c r="Q22" i="4" s="1"/>
  <c r="R22" i="4" s="1"/>
  <c r="AC19" i="5"/>
  <c r="AD19" i="5" s="1"/>
  <c r="AE19" i="5"/>
  <c r="G22" i="15"/>
  <c r="W23" i="15"/>
  <c r="H38" i="7"/>
  <c r="G38" i="7" s="1"/>
  <c r="AE19" i="4"/>
  <c r="AC19" i="4"/>
  <c r="AD19" i="4" s="1"/>
  <c r="I24" i="4"/>
  <c r="H25" i="4"/>
  <c r="AC19" i="15"/>
  <c r="AD19" i="15" s="1"/>
  <c r="AE19" i="15"/>
  <c r="N42" i="4"/>
  <c r="O42" i="4" s="1"/>
  <c r="P42" i="4" s="1"/>
  <c r="Q42" i="4" s="1"/>
  <c r="R42" i="4" s="1"/>
  <c r="N11" i="15"/>
  <c r="O11" i="15" s="1"/>
  <c r="P11" i="15" s="1"/>
  <c r="Q11" i="15" s="1"/>
  <c r="R11" i="15" s="1"/>
  <c r="N12" i="5"/>
  <c r="G22" i="16"/>
  <c r="F32" i="27"/>
  <c r="N8" i="3"/>
  <c r="O8" i="3" s="1"/>
  <c r="P8" i="3" s="1"/>
  <c r="Q8" i="3" s="1"/>
  <c r="R8" i="3" s="1"/>
  <c r="N49" i="4"/>
  <c r="O49" i="4" s="1"/>
  <c r="P49" i="4" s="1"/>
  <c r="Q49" i="4" s="1"/>
  <c r="R49" i="4" s="1"/>
  <c r="N45" i="4"/>
  <c r="O45" i="4" s="1"/>
  <c r="P45" i="4" s="1"/>
  <c r="Q45" i="4" s="1"/>
  <c r="R45" i="4" s="1"/>
  <c r="AC20" i="4"/>
  <c r="AD20" i="4" s="1"/>
  <c r="AE20" i="4"/>
  <c r="U19" i="15"/>
  <c r="G18" i="7"/>
  <c r="N12" i="15"/>
  <c r="N46" i="16"/>
  <c r="O46" i="16" s="1"/>
  <c r="P46" i="16" s="1"/>
  <c r="Q46" i="16" s="1"/>
  <c r="R46" i="16" s="1"/>
  <c r="N45" i="3"/>
  <c r="O45" i="3" s="1"/>
  <c r="P45" i="3" s="1"/>
  <c r="Q45" i="3" s="1"/>
  <c r="R45" i="3" s="1"/>
  <c r="D14" i="26"/>
  <c r="H35" i="7"/>
  <c r="G35" i="7" s="1"/>
  <c r="W23" i="3"/>
  <c r="N8" i="5"/>
  <c r="O8" i="5" s="1"/>
  <c r="P8" i="5" s="1"/>
  <c r="Q8" i="5" s="1"/>
  <c r="R8" i="5" s="1"/>
  <c r="AC26" i="15"/>
  <c r="AD26" i="15" s="1"/>
  <c r="AE26" i="15"/>
  <c r="AE25" i="16"/>
  <c r="AC25" i="16"/>
  <c r="AD25" i="16" s="1"/>
  <c r="N9" i="3"/>
  <c r="O9" i="3" s="1"/>
  <c r="P9" i="3" s="1"/>
  <c r="Q9" i="3" s="1"/>
  <c r="R9" i="3" s="1"/>
  <c r="AE29" i="5"/>
  <c r="AC29" i="5"/>
  <c r="AD29" i="5" s="1"/>
  <c r="AE28" i="16"/>
  <c r="AC28" i="16"/>
  <c r="AD28" i="16" s="1"/>
  <c r="N7" i="4"/>
  <c r="O7" i="4" s="1"/>
  <c r="P7" i="4" s="1"/>
  <c r="Q7" i="4" s="1"/>
  <c r="R7" i="4" s="1"/>
  <c r="H7" i="15"/>
  <c r="I6" i="15"/>
  <c r="H24" i="16"/>
  <c r="I23" i="16"/>
  <c r="N49" i="16"/>
  <c r="O49" i="16" s="1"/>
  <c r="P49" i="16" s="1"/>
  <c r="Q49" i="16" s="1"/>
  <c r="R49" i="16" s="1"/>
  <c r="H25" i="5"/>
  <c r="I24" i="5"/>
  <c r="AE19" i="16"/>
  <c r="AC19" i="16"/>
  <c r="AD19" i="16" s="1"/>
  <c r="G23" i="16"/>
  <c r="O23" i="16"/>
  <c r="P23" i="16" s="1"/>
  <c r="Q23" i="16" s="1"/>
  <c r="R23" i="16" s="1"/>
  <c r="I43" i="3"/>
  <c r="H44" i="3"/>
  <c r="O31" i="16" l="1"/>
  <c r="L24" i="16" s="1"/>
  <c r="H19" i="7"/>
  <c r="U20" i="16"/>
  <c r="H8" i="16"/>
  <c r="I7" i="16"/>
  <c r="U20" i="5"/>
  <c r="H17" i="7"/>
  <c r="I7" i="5"/>
  <c r="H8" i="5"/>
  <c r="I37" i="7"/>
  <c r="W24" i="5"/>
  <c r="H25" i="15"/>
  <c r="I24" i="15"/>
  <c r="B41" i="27"/>
  <c r="I8" i="3"/>
  <c r="H9" i="3"/>
  <c r="I15" i="7"/>
  <c r="U21" i="3"/>
  <c r="B12" i="26"/>
  <c r="N31" i="4"/>
  <c r="L23" i="4" s="1"/>
  <c r="U23" i="4"/>
  <c r="K16" i="7"/>
  <c r="C11" i="26"/>
  <c r="B42" i="27" s="1"/>
  <c r="H25" i="7"/>
  <c r="V20" i="3"/>
  <c r="O22" i="5"/>
  <c r="P22" i="5" s="1"/>
  <c r="Q22" i="5" s="1"/>
  <c r="R22" i="5" s="1"/>
  <c r="I44" i="5"/>
  <c r="H45" i="5"/>
  <c r="G23" i="4"/>
  <c r="V20" i="15"/>
  <c r="H28" i="7"/>
  <c r="N52" i="16"/>
  <c r="L44" i="16" s="1"/>
  <c r="O41" i="16" s="1"/>
  <c r="P41" i="16" s="1"/>
  <c r="Q41" i="16" s="1"/>
  <c r="R41" i="16" s="1"/>
  <c r="I10" i="4"/>
  <c r="H11" i="4"/>
  <c r="I11" i="4" s="1"/>
  <c r="B23" i="27"/>
  <c r="B22" i="27"/>
  <c r="N31" i="5"/>
  <c r="L23" i="5" s="1"/>
  <c r="G23" i="5"/>
  <c r="E21" i="27"/>
  <c r="D21" i="27"/>
  <c r="H25" i="3"/>
  <c r="I24" i="3"/>
  <c r="O12" i="15"/>
  <c r="N14" i="15"/>
  <c r="I25" i="4"/>
  <c r="H26" i="4"/>
  <c r="V21" i="5"/>
  <c r="I27" i="7"/>
  <c r="U20" i="15"/>
  <c r="H18" i="7"/>
  <c r="H39" i="7"/>
  <c r="G39" i="7" s="1"/>
  <c r="W23" i="16"/>
  <c r="O14" i="3"/>
  <c r="L7" i="3" s="1"/>
  <c r="P12" i="3"/>
  <c r="AD31" i="5"/>
  <c r="AE31" i="5" s="1"/>
  <c r="I43" i="16"/>
  <c r="H44" i="16"/>
  <c r="N52" i="15"/>
  <c r="O50" i="15"/>
  <c r="D15" i="26"/>
  <c r="B61" i="27" s="1"/>
  <c r="I35" i="7"/>
  <c r="W24" i="3"/>
  <c r="H29" i="7"/>
  <c r="V20" i="16"/>
  <c r="G22" i="4"/>
  <c r="O31" i="15"/>
  <c r="L24" i="15" s="1"/>
  <c r="P29" i="15"/>
  <c r="G23" i="15"/>
  <c r="P31" i="16"/>
  <c r="L25" i="16" s="1"/>
  <c r="Q29" i="16"/>
  <c r="H36" i="7"/>
  <c r="G36" i="7" s="1"/>
  <c r="W23" i="4"/>
  <c r="I26" i="7"/>
  <c r="V21" i="4"/>
  <c r="O50" i="5"/>
  <c r="N52" i="5"/>
  <c r="I44" i="3"/>
  <c r="H45" i="3"/>
  <c r="H25" i="16"/>
  <c r="I24" i="16"/>
  <c r="B60" i="27"/>
  <c r="AD31" i="4"/>
  <c r="AE31" i="4" s="1"/>
  <c r="P29" i="3"/>
  <c r="O31" i="3"/>
  <c r="L24" i="3" s="1"/>
  <c r="L6" i="16"/>
  <c r="P50" i="3"/>
  <c r="O50" i="4"/>
  <c r="N52" i="4"/>
  <c r="H44" i="4"/>
  <c r="I43" i="4"/>
  <c r="P29" i="4"/>
  <c r="O31" i="4"/>
  <c r="L24" i="4" s="1"/>
  <c r="I7" i="15"/>
  <c r="H8" i="15"/>
  <c r="P50" i="16"/>
  <c r="N14" i="4"/>
  <c r="O12" i="4"/>
  <c r="H45" i="15"/>
  <c r="I44" i="15"/>
  <c r="W24" i="15"/>
  <c r="I38" i="7"/>
  <c r="N14" i="3"/>
  <c r="H26" i="5"/>
  <c r="I25" i="5"/>
  <c r="AD31" i="16"/>
  <c r="AE31" i="16" s="1"/>
  <c r="N14" i="5"/>
  <c r="O12" i="5"/>
  <c r="AD31" i="15"/>
  <c r="AE31" i="15" s="1"/>
  <c r="P12" i="16"/>
  <c r="O14" i="16"/>
  <c r="L7" i="16" s="1"/>
  <c r="O31" i="5"/>
  <c r="L24" i="5" s="1"/>
  <c r="P29" i="5"/>
  <c r="N52" i="3"/>
  <c r="U21" i="16" l="1"/>
  <c r="I19" i="7"/>
  <c r="H9" i="16"/>
  <c r="I8" i="16"/>
  <c r="I8" i="5"/>
  <c r="H9" i="5"/>
  <c r="I17" i="7"/>
  <c r="U21" i="5"/>
  <c r="D42" i="27"/>
  <c r="E42" i="27"/>
  <c r="U22" i="3"/>
  <c r="B13" i="26"/>
  <c r="B24" i="27" s="1"/>
  <c r="J15" i="7"/>
  <c r="D22" i="27"/>
  <c r="E22" i="27"/>
  <c r="E23" i="27"/>
  <c r="D23" i="27"/>
  <c r="W25" i="5"/>
  <c r="J37" i="7"/>
  <c r="I28" i="7"/>
  <c r="V21" i="15"/>
  <c r="I25" i="7"/>
  <c r="V21" i="3"/>
  <c r="C12" i="26"/>
  <c r="M16" i="7"/>
  <c r="U25" i="4"/>
  <c r="U26" i="4" s="1"/>
  <c r="U27" i="4" s="1"/>
  <c r="U28" i="4" s="1"/>
  <c r="U29" i="4" s="1"/>
  <c r="G22" i="5"/>
  <c r="I25" i="15"/>
  <c r="H26" i="15"/>
  <c r="I9" i="3"/>
  <c r="H10" i="3"/>
  <c r="D41" i="27"/>
  <c r="E41" i="27"/>
  <c r="H46" i="5"/>
  <c r="I45" i="5"/>
  <c r="I25" i="3"/>
  <c r="H26" i="3"/>
  <c r="L16" i="7"/>
  <c r="U24" i="4"/>
  <c r="F21" i="27"/>
  <c r="E61" i="27"/>
  <c r="D61" i="27"/>
  <c r="I26" i="5"/>
  <c r="H27" i="5"/>
  <c r="I45" i="15"/>
  <c r="H46" i="15"/>
  <c r="Q50" i="3"/>
  <c r="L6" i="4"/>
  <c r="W25" i="3"/>
  <c r="D16" i="26"/>
  <c r="B62" i="27" s="1"/>
  <c r="J35" i="7"/>
  <c r="Q12" i="3"/>
  <c r="P14" i="3"/>
  <c r="L8" i="3" s="1"/>
  <c r="R29" i="16"/>
  <c r="R31" i="16" s="1"/>
  <c r="Q31" i="16"/>
  <c r="L26" i="16" s="1"/>
  <c r="P50" i="15"/>
  <c r="L44" i="4"/>
  <c r="O41" i="4" s="1"/>
  <c r="P41" i="4" s="1"/>
  <c r="Q41" i="4" s="1"/>
  <c r="R41" i="4" s="1"/>
  <c r="P31" i="3"/>
  <c r="L25" i="3" s="1"/>
  <c r="Q29" i="3"/>
  <c r="E60" i="27"/>
  <c r="D60" i="27"/>
  <c r="P50" i="5"/>
  <c r="L44" i="15"/>
  <c r="O41" i="15" s="1"/>
  <c r="P41" i="15" s="1"/>
  <c r="Q41" i="15" s="1"/>
  <c r="R41" i="15" s="1"/>
  <c r="L6" i="15"/>
  <c r="H26" i="16"/>
  <c r="I25" i="16"/>
  <c r="L6" i="3"/>
  <c r="P31" i="4"/>
  <c r="L25" i="4" s="1"/>
  <c r="Q29" i="4"/>
  <c r="H46" i="3"/>
  <c r="I45" i="3"/>
  <c r="J26" i="7"/>
  <c r="V22" i="4"/>
  <c r="L6" i="5"/>
  <c r="P52" i="16"/>
  <c r="L46" i="16" s="1"/>
  <c r="Q50" i="16"/>
  <c r="P50" i="4"/>
  <c r="I44" i="16"/>
  <c r="H45" i="16"/>
  <c r="O14" i="15"/>
  <c r="L7" i="15" s="1"/>
  <c r="P12" i="15"/>
  <c r="P12" i="4"/>
  <c r="O14" i="4"/>
  <c r="L7" i="4" s="1"/>
  <c r="Q12" i="16"/>
  <c r="P14" i="16"/>
  <c r="I36" i="7"/>
  <c r="W24" i="4"/>
  <c r="H27" i="4"/>
  <c r="I26" i="4"/>
  <c r="H45" i="4"/>
  <c r="I44" i="4"/>
  <c r="L44" i="5"/>
  <c r="O41" i="5" s="1"/>
  <c r="P41" i="5" s="1"/>
  <c r="Q41" i="5" s="1"/>
  <c r="R41" i="5" s="1"/>
  <c r="P12" i="5"/>
  <c r="O14" i="5"/>
  <c r="L7" i="5" s="1"/>
  <c r="O52" i="16"/>
  <c r="L44" i="3"/>
  <c r="O41" i="3" s="1"/>
  <c r="H9" i="15"/>
  <c r="I8" i="15"/>
  <c r="P31" i="15"/>
  <c r="L25" i="15" s="1"/>
  <c r="Q29" i="15"/>
  <c r="W24" i="16"/>
  <c r="I39" i="7"/>
  <c r="Q29" i="5"/>
  <c r="P31" i="5"/>
  <c r="L25" i="5" s="1"/>
  <c r="V22" i="5"/>
  <c r="J27" i="7"/>
  <c r="W25" i="15"/>
  <c r="J38" i="7"/>
  <c r="U21" i="15"/>
  <c r="I18" i="7"/>
  <c r="V21" i="16"/>
  <c r="I29" i="7"/>
  <c r="F23" i="27" l="1"/>
  <c r="F41" i="27"/>
  <c r="I9" i="16"/>
  <c r="H10" i="16"/>
  <c r="I9" i="5"/>
  <c r="H10" i="5"/>
  <c r="U22" i="5"/>
  <c r="J17" i="7"/>
  <c r="U22" i="16"/>
  <c r="J19" i="7"/>
  <c r="H27" i="3"/>
  <c r="I26" i="3"/>
  <c r="H27" i="15"/>
  <c r="I26" i="15"/>
  <c r="V22" i="3"/>
  <c r="J25" i="7"/>
  <c r="C13" i="26"/>
  <c r="K37" i="7"/>
  <c r="W26" i="5"/>
  <c r="H47" i="5"/>
  <c r="I46" i="5"/>
  <c r="O52" i="5"/>
  <c r="L45" i="5" s="1"/>
  <c r="B14" i="26"/>
  <c r="K15" i="7"/>
  <c r="U23" i="3"/>
  <c r="J28" i="7"/>
  <c r="V22" i="15"/>
  <c r="F22" i="27"/>
  <c r="E24" i="27"/>
  <c r="D24" i="27"/>
  <c r="O52" i="4"/>
  <c r="L45" i="4" s="1"/>
  <c r="F60" i="27"/>
  <c r="H11" i="3"/>
  <c r="I11" i="3" s="1"/>
  <c r="I10" i="3"/>
  <c r="B43" i="27"/>
  <c r="F42" i="27"/>
  <c r="H10" i="15"/>
  <c r="I9" i="15"/>
  <c r="J36" i="7"/>
  <c r="W25" i="4"/>
  <c r="Q12" i="15"/>
  <c r="P14" i="15"/>
  <c r="I27" i="5"/>
  <c r="H28" i="5"/>
  <c r="I28" i="5" s="1"/>
  <c r="E62" i="27"/>
  <c r="D62" i="27"/>
  <c r="R29" i="15"/>
  <c r="R31" i="15" s="1"/>
  <c r="Q31" i="15"/>
  <c r="L26" i="15" s="1"/>
  <c r="Q50" i="5"/>
  <c r="P52" i="5"/>
  <c r="W26" i="15"/>
  <c r="K38" i="7"/>
  <c r="Q31" i="5"/>
  <c r="L26" i="5" s="1"/>
  <c r="R29" i="5"/>
  <c r="R31" i="5" s="1"/>
  <c r="P41" i="3"/>
  <c r="O52" i="3"/>
  <c r="H46" i="4"/>
  <c r="I45" i="4"/>
  <c r="L8" i="16"/>
  <c r="P52" i="4"/>
  <c r="Q50" i="4"/>
  <c r="Q31" i="4"/>
  <c r="L26" i="4" s="1"/>
  <c r="R29" i="4"/>
  <c r="R31" i="4" s="1"/>
  <c r="P52" i="15"/>
  <c r="L46" i="15" s="1"/>
  <c r="Q50" i="15"/>
  <c r="K27" i="7"/>
  <c r="V23" i="5"/>
  <c r="R50" i="3"/>
  <c r="D17" i="26"/>
  <c r="B63" i="27" s="1"/>
  <c r="K35" i="7"/>
  <c r="W26" i="3"/>
  <c r="I46" i="15"/>
  <c r="H47" i="15"/>
  <c r="H47" i="3"/>
  <c r="I46" i="3"/>
  <c r="L45" i="16"/>
  <c r="K26" i="7"/>
  <c r="V23" i="4"/>
  <c r="Q14" i="16"/>
  <c r="G9" i="16" s="1"/>
  <c r="R12" i="16"/>
  <c r="R14" i="16" s="1"/>
  <c r="I45" i="16"/>
  <c r="H46" i="16"/>
  <c r="Q52" i="16"/>
  <c r="L47" i="16" s="1"/>
  <c r="R50" i="16"/>
  <c r="R52" i="16" s="1"/>
  <c r="G42" i="16" s="1"/>
  <c r="J29" i="7"/>
  <c r="V22" i="16"/>
  <c r="R29" i="3"/>
  <c r="R31" i="3" s="1"/>
  <c r="Q31" i="3"/>
  <c r="L26" i="3" s="1"/>
  <c r="O52" i="15"/>
  <c r="F61" i="27"/>
  <c r="Q12" i="5"/>
  <c r="P14" i="5"/>
  <c r="P14" i="4"/>
  <c r="L8" i="4" s="1"/>
  <c r="Q12" i="4"/>
  <c r="Q14" i="3"/>
  <c r="G25" i="3" s="1"/>
  <c r="R12" i="3"/>
  <c r="R14" i="3" s="1"/>
  <c r="J18" i="7"/>
  <c r="U22" i="15"/>
  <c r="I27" i="4"/>
  <c r="H28" i="4"/>
  <c r="I28" i="4" s="1"/>
  <c r="J39" i="7"/>
  <c r="W25" i="16"/>
  <c r="I26" i="16"/>
  <c r="H27" i="16"/>
  <c r="F62" i="27" l="1"/>
  <c r="G8" i="3"/>
  <c r="F24" i="27"/>
  <c r="H11" i="5"/>
  <c r="I11" i="5" s="1"/>
  <c r="I10" i="5"/>
  <c r="H11" i="16"/>
  <c r="I11" i="16" s="1"/>
  <c r="I10" i="16"/>
  <c r="U23" i="5"/>
  <c r="K17" i="7"/>
  <c r="G28" i="3"/>
  <c r="K19" i="7"/>
  <c r="U23" i="16"/>
  <c r="G10" i="3"/>
  <c r="G45" i="16"/>
  <c r="G47" i="16"/>
  <c r="B44" i="27"/>
  <c r="V23" i="15"/>
  <c r="K28" i="7"/>
  <c r="G6" i="3"/>
  <c r="L37" i="7"/>
  <c r="W27" i="5"/>
  <c r="B15" i="26"/>
  <c r="B26" i="27" s="1"/>
  <c r="L15" i="7"/>
  <c r="U24" i="3"/>
  <c r="H48" i="5"/>
  <c r="I47" i="5"/>
  <c r="C14" i="26"/>
  <c r="B45" i="27" s="1"/>
  <c r="K25" i="7"/>
  <c r="V23" i="3"/>
  <c r="G49" i="16"/>
  <c r="B25" i="27"/>
  <c r="G5" i="3"/>
  <c r="D43" i="27"/>
  <c r="E43" i="27"/>
  <c r="H28" i="15"/>
  <c r="I28" i="15" s="1"/>
  <c r="I27" i="15"/>
  <c r="M15" i="7"/>
  <c r="U25" i="3"/>
  <c r="U26" i="3" s="1"/>
  <c r="U27" i="3" s="1"/>
  <c r="U28" i="3" s="1"/>
  <c r="U29" i="3" s="1"/>
  <c r="B16" i="26"/>
  <c r="I27" i="3"/>
  <c r="H28" i="3"/>
  <c r="I28" i="3" s="1"/>
  <c r="W26" i="16"/>
  <c r="K39" i="7"/>
  <c r="D18" i="26"/>
  <c r="B64" i="27" s="1"/>
  <c r="L35" i="7"/>
  <c r="W27" i="3"/>
  <c r="G7" i="3"/>
  <c r="L9" i="16"/>
  <c r="G8" i="16"/>
  <c r="G6" i="16"/>
  <c r="G12" i="16"/>
  <c r="G24" i="16"/>
  <c r="G10" i="16"/>
  <c r="G27" i="16"/>
  <c r="G7" i="16"/>
  <c r="G11" i="16"/>
  <c r="G25" i="16"/>
  <c r="G5" i="16"/>
  <c r="G28" i="16"/>
  <c r="G29" i="16"/>
  <c r="L27" i="7"/>
  <c r="V24" i="5"/>
  <c r="L45" i="15"/>
  <c r="G41" i="16"/>
  <c r="H47" i="4"/>
  <c r="I46" i="4"/>
  <c r="L46" i="5"/>
  <c r="I46" i="16"/>
  <c r="H47" i="16"/>
  <c r="G24" i="3"/>
  <c r="M27" i="7"/>
  <c r="V25" i="5"/>
  <c r="V26" i="5" s="1"/>
  <c r="V27" i="5" s="1"/>
  <c r="V28" i="5" s="1"/>
  <c r="V29" i="5" s="1"/>
  <c r="D63" i="27"/>
  <c r="E63" i="27"/>
  <c r="G50" i="16"/>
  <c r="W26" i="4"/>
  <c r="K36" i="7"/>
  <c r="H28" i="16"/>
  <c r="I28" i="16" s="1"/>
  <c r="I27" i="16"/>
  <c r="M26" i="7"/>
  <c r="V25" i="4"/>
  <c r="V26" i="4" s="1"/>
  <c r="V27" i="4" s="1"/>
  <c r="V28" i="4" s="1"/>
  <c r="V29" i="4" s="1"/>
  <c r="G44" i="16"/>
  <c r="R50" i="15"/>
  <c r="R52" i="15" s="1"/>
  <c r="Q52" i="15"/>
  <c r="L47" i="15" s="1"/>
  <c r="Q52" i="5"/>
  <c r="R50" i="5"/>
  <c r="R52" i="5" s="1"/>
  <c r="L8" i="15"/>
  <c r="U23" i="15"/>
  <c r="K18" i="7"/>
  <c r="L46" i="4"/>
  <c r="L9" i="3"/>
  <c r="G29" i="3"/>
  <c r="G12" i="3"/>
  <c r="G11" i="3"/>
  <c r="G27" i="3"/>
  <c r="G26" i="3"/>
  <c r="H48" i="3"/>
  <c r="I47" i="3"/>
  <c r="Q14" i="4"/>
  <c r="R12" i="4"/>
  <c r="R14" i="4" s="1"/>
  <c r="K29" i="7"/>
  <c r="V23" i="16"/>
  <c r="L26" i="7"/>
  <c r="V24" i="4"/>
  <c r="L8" i="5"/>
  <c r="G43" i="16"/>
  <c r="I47" i="15"/>
  <c r="H48" i="15"/>
  <c r="L45" i="3"/>
  <c r="G9" i="3"/>
  <c r="Q14" i="15"/>
  <c r="R12" i="15"/>
  <c r="R14" i="15" s="1"/>
  <c r="G11" i="15" s="1"/>
  <c r="I10" i="15"/>
  <c r="H11" i="15"/>
  <c r="I11" i="15" s="1"/>
  <c r="R12" i="5"/>
  <c r="R14" i="5" s="1"/>
  <c r="Q14" i="5"/>
  <c r="G7" i="5" s="1"/>
  <c r="G46" i="16"/>
  <c r="G48" i="16"/>
  <c r="L38" i="7"/>
  <c r="W27" i="15"/>
  <c r="Q52" i="4"/>
  <c r="L47" i="4" s="1"/>
  <c r="R50" i="4"/>
  <c r="R52" i="4" s="1"/>
  <c r="Q41" i="3"/>
  <c r="P52" i="3"/>
  <c r="L46" i="3" s="1"/>
  <c r="G26" i="16"/>
  <c r="G27" i="15" l="1"/>
  <c r="F43" i="27"/>
  <c r="L19" i="7"/>
  <c r="U24" i="16"/>
  <c r="U25" i="16"/>
  <c r="U26" i="16" s="1"/>
  <c r="U27" i="16" s="1"/>
  <c r="U28" i="16" s="1"/>
  <c r="U29" i="16" s="1"/>
  <c r="M19" i="7"/>
  <c r="G48" i="4"/>
  <c r="M17" i="7"/>
  <c r="U25" i="5"/>
  <c r="U26" i="5" s="1"/>
  <c r="U27" i="5" s="1"/>
  <c r="U28" i="5" s="1"/>
  <c r="U29" i="5" s="1"/>
  <c r="L17" i="7"/>
  <c r="U24" i="5"/>
  <c r="G25" i="15"/>
  <c r="G43" i="4"/>
  <c r="G24" i="5"/>
  <c r="G26" i="5"/>
  <c r="G25" i="4"/>
  <c r="F63" i="27"/>
  <c r="G30" i="16"/>
  <c r="B27" i="27"/>
  <c r="V24" i="15"/>
  <c r="L28" i="7"/>
  <c r="G50" i="15"/>
  <c r="M28" i="7"/>
  <c r="V25" i="15"/>
  <c r="V26" i="15" s="1"/>
  <c r="V27" i="15" s="1"/>
  <c r="V28" i="15" s="1"/>
  <c r="V29" i="15" s="1"/>
  <c r="E45" i="27"/>
  <c r="D45" i="27"/>
  <c r="G13" i="3"/>
  <c r="V25" i="3"/>
  <c r="V26" i="3" s="1"/>
  <c r="V27" i="3" s="1"/>
  <c r="V28" i="3" s="1"/>
  <c r="V29" i="3" s="1"/>
  <c r="M25" i="7"/>
  <c r="C16" i="26"/>
  <c r="M37" i="7"/>
  <c r="W28" i="5"/>
  <c r="V24" i="3"/>
  <c r="C15" i="26"/>
  <c r="L25" i="7"/>
  <c r="I48" i="5"/>
  <c r="H49" i="5"/>
  <c r="I49" i="5" s="1"/>
  <c r="D25" i="27"/>
  <c r="E25" i="27"/>
  <c r="E44" i="27"/>
  <c r="D44" i="27"/>
  <c r="G5" i="15"/>
  <c r="G5" i="5"/>
  <c r="G7" i="15"/>
  <c r="G9" i="5"/>
  <c r="D26" i="27"/>
  <c r="E26" i="27"/>
  <c r="G27" i="5"/>
  <c r="G41" i="4"/>
  <c r="G46" i="5"/>
  <c r="G42" i="15"/>
  <c r="B46" i="27"/>
  <c r="B24" i="26"/>
  <c r="E64" i="27"/>
  <c r="D64" i="27"/>
  <c r="G48" i="5"/>
  <c r="G43" i="5"/>
  <c r="G6" i="4"/>
  <c r="U24" i="15"/>
  <c r="L18" i="7"/>
  <c r="M35" i="7"/>
  <c r="W28" i="3"/>
  <c r="D19" i="26"/>
  <c r="G30" i="3"/>
  <c r="G45" i="15"/>
  <c r="G41" i="5"/>
  <c r="G41" i="15"/>
  <c r="R41" i="3"/>
  <c r="R52" i="3" s="1"/>
  <c r="Q52" i="3"/>
  <c r="H49" i="15"/>
  <c r="I49" i="15" s="1"/>
  <c r="I48" i="15"/>
  <c r="G45" i="4"/>
  <c r="G28" i="15"/>
  <c r="L39" i="7"/>
  <c r="W27" i="16"/>
  <c r="G43" i="15"/>
  <c r="V24" i="16"/>
  <c r="L29" i="7"/>
  <c r="B65" i="27"/>
  <c r="G10" i="4"/>
  <c r="L9" i="15"/>
  <c r="G10" i="15"/>
  <c r="G9" i="15"/>
  <c r="G6" i="15"/>
  <c r="G26" i="15"/>
  <c r="G24" i="15"/>
  <c r="M38" i="7"/>
  <c r="W28" i="15"/>
  <c r="G49" i="4"/>
  <c r="G29" i="15"/>
  <c r="G25" i="5"/>
  <c r="G51" i="16"/>
  <c r="L36" i="7"/>
  <c r="W27" i="4"/>
  <c r="G46" i="15"/>
  <c r="G42" i="4"/>
  <c r="L47" i="5"/>
  <c r="G47" i="5"/>
  <c r="G50" i="5"/>
  <c r="G44" i="5"/>
  <c r="G49" i="5"/>
  <c r="M18" i="7"/>
  <c r="U25" i="15"/>
  <c r="U26" i="15" s="1"/>
  <c r="U27" i="15" s="1"/>
  <c r="U28" i="15" s="1"/>
  <c r="U29" i="15" s="1"/>
  <c r="M29" i="7"/>
  <c r="V25" i="16"/>
  <c r="V26" i="16" s="1"/>
  <c r="V27" i="16" s="1"/>
  <c r="V28" i="16" s="1"/>
  <c r="V29" i="16" s="1"/>
  <c r="G47" i="15"/>
  <c r="I48" i="3"/>
  <c r="H49" i="3"/>
  <c r="I49" i="3" s="1"/>
  <c r="H48" i="16"/>
  <c r="I47" i="16"/>
  <c r="G44" i="15"/>
  <c r="L9" i="5"/>
  <c r="G28" i="5"/>
  <c r="G12" i="5"/>
  <c r="G8" i="5"/>
  <c r="G6" i="5"/>
  <c r="G10" i="5"/>
  <c r="G50" i="4"/>
  <c r="G44" i="4"/>
  <c r="G8" i="15"/>
  <c r="G24" i="4"/>
  <c r="H48" i="4"/>
  <c r="I47" i="4"/>
  <c r="G49" i="15"/>
  <c r="G46" i="4"/>
  <c r="L9" i="4"/>
  <c r="G26" i="4"/>
  <c r="G27" i="4"/>
  <c r="G8" i="4"/>
  <c r="G28" i="4"/>
  <c r="G12" i="4"/>
  <c r="G9" i="4"/>
  <c r="G7" i="4"/>
  <c r="G5" i="4"/>
  <c r="G29" i="4"/>
  <c r="G13" i="16"/>
  <c r="G42" i="5"/>
  <c r="G11" i="5"/>
  <c r="G47" i="4"/>
  <c r="G12" i="15"/>
  <c r="G45" i="5"/>
  <c r="G11" i="4"/>
  <c r="G48" i="15"/>
  <c r="G29" i="5"/>
  <c r="G48" i="3" l="1"/>
  <c r="F44" i="27"/>
  <c r="G47" i="3"/>
  <c r="F64" i="27"/>
  <c r="G13" i="15"/>
  <c r="G13" i="5"/>
  <c r="G45" i="3"/>
  <c r="F25" i="27"/>
  <c r="O37" i="7"/>
  <c r="W30" i="5"/>
  <c r="G49" i="3"/>
  <c r="D27" i="27"/>
  <c r="E27" i="27"/>
  <c r="B47" i="27"/>
  <c r="C24" i="26"/>
  <c r="F45" i="27"/>
  <c r="F26" i="27"/>
  <c r="G30" i="5"/>
  <c r="G41" i="3"/>
  <c r="D46" i="27"/>
  <c r="E46" i="27"/>
  <c r="N37" i="7"/>
  <c r="W29" i="5"/>
  <c r="G51" i="15"/>
  <c r="I48" i="16"/>
  <c r="H49" i="16"/>
  <c r="I49" i="16" s="1"/>
  <c r="O35" i="7"/>
  <c r="W30" i="3"/>
  <c r="D21" i="26"/>
  <c r="B67" i="27" s="1"/>
  <c r="G30" i="4"/>
  <c r="L47" i="3"/>
  <c r="G42" i="3"/>
  <c r="G50" i="3"/>
  <c r="G43" i="3"/>
  <c r="G46" i="3"/>
  <c r="G44" i="3"/>
  <c r="M36" i="7"/>
  <c r="W28" i="4"/>
  <c r="G30" i="15"/>
  <c r="I48" i="4"/>
  <c r="H49" i="4"/>
  <c r="I49" i="4" s="1"/>
  <c r="G51" i="5"/>
  <c r="G13" i="4"/>
  <c r="D20" i="26"/>
  <c r="N35" i="7"/>
  <c r="W29" i="3"/>
  <c r="D65" i="27"/>
  <c r="E65" i="27"/>
  <c r="W29" i="15"/>
  <c r="N38" i="7"/>
  <c r="W30" i="15"/>
  <c r="O38" i="7"/>
  <c r="G51" i="4"/>
  <c r="M39" i="7"/>
  <c r="W28" i="16"/>
  <c r="F65" i="27" l="1"/>
  <c r="F27" i="27"/>
  <c r="D47" i="27"/>
  <c r="E47" i="27"/>
  <c r="F46" i="27"/>
  <c r="D67" i="27"/>
  <c r="E67" i="27"/>
  <c r="O39" i="7"/>
  <c r="W30" i="16"/>
  <c r="W30" i="4"/>
  <c r="O36" i="7"/>
  <c r="G51" i="3"/>
  <c r="W29" i="16"/>
  <c r="N39" i="7"/>
  <c r="D24" i="26"/>
  <c r="N36" i="7"/>
  <c r="W29" i="4"/>
  <c r="B66" i="27"/>
  <c r="F67" i="27" l="1"/>
  <c r="F47" i="27"/>
  <c r="D66" i="27"/>
  <c r="E66" i="27"/>
  <c r="F66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5" authorId="0" shapeId="0" xr:uid="{00000000-0006-0000-06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5" authorId="0" shapeId="0" xr:uid="{00000000-0006-0000-06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6" authorId="0" shapeId="0" xr:uid="{00000000-0006-0000-06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6" authorId="0" shapeId="0" xr:uid="{00000000-0006-0000-06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7" authorId="0" shapeId="0" xr:uid="{00000000-0006-0000-06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7" authorId="0" shapeId="0" xr:uid="{00000000-0006-0000-0600-000006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8" authorId="0" shapeId="0" xr:uid="{00000000-0006-0000-0600-00000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8" authorId="0" shapeId="0" xr:uid="{00000000-0006-0000-06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9" authorId="0" shapeId="0" xr:uid="{00000000-0006-0000-06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9" authorId="0" shapeId="0" xr:uid="{00000000-0006-0000-06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0" authorId="0" shapeId="0" xr:uid="{00000000-0006-0000-06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1" authorId="0" shapeId="0" xr:uid="{00000000-0006-0000-06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4" authorId="0" shapeId="0" xr:uid="{00000000-0006-0000-0600-00000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2" authorId="0" shapeId="0" xr:uid="{00000000-0006-0000-0600-00000E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2" authorId="0" shapeId="0" xr:uid="{00000000-0006-0000-0600-00000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600-00001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3" authorId="0" shapeId="0" xr:uid="{00000000-0006-0000-0600-00001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3CF67633-B5CF-409B-8727-176A8E15ABB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4" authorId="0" shapeId="0" xr:uid="{00000000-0006-0000-0600-00001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00000000-0006-0000-0600-00001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5" authorId="0" shapeId="0" xr:uid="{00000000-0006-0000-0600-00001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0FEEA56C-DB9F-4DD0-BE0B-95E6BEE8A588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6" authorId="0" shapeId="0" xr:uid="{00000000-0006-0000-0600-00001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A8C7090A-1753-4EDC-8D5F-D7443A38DC3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7DB287B4-4929-4A69-8CAF-93D5ADF2CE02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A5CD445C-0157-4FF0-B733-B4A7B0859D9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600-00001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600-00001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3" authorId="0" shapeId="0" xr:uid="{00000000-0006-0000-0600-00001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600-00001E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4" authorId="0" shapeId="0" xr:uid="{00000000-0006-0000-0600-00001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5" authorId="0" shapeId="0" xr:uid="{00000000-0006-0000-0600-00002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600-00002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6" authorId="0" shapeId="0" xr:uid="{00000000-0006-0000-0600-00002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7" authorId="0" shapeId="0" xr:uid="{00000000-0006-0000-0600-00002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600-00002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5" authorId="0" shapeId="0" xr:uid="{00000000-0006-0000-07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6" authorId="0" shapeId="0" xr:uid="{00000000-0006-0000-07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7" authorId="0" shapeId="0" xr:uid="{00000000-0006-0000-07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8" authorId="0" shapeId="0" xr:uid="{00000000-0006-0000-07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9" authorId="0" shapeId="0" xr:uid="{00000000-0006-0000-07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0" authorId="0" shapeId="0" xr:uid="{00000000-0006-0000-0700-000006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1" authorId="0" shapeId="0" xr:uid="{00000000-0006-0000-0700-00000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4" authorId="0" shapeId="0" xr:uid="{00000000-0006-0000-07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2" authorId="0" shapeId="0" xr:uid="{00000000-0006-0000-07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7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F738845B-5C8A-40B6-8291-33B2A2CA3085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9806C89C-ABBA-4308-B487-7E09B1FEB17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666822C7-0659-4B78-8257-3697990B2CF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045932D1-A6F2-48F8-885E-DACD4D5FDB8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D2B3281B-4A7F-4EA2-9813-8798EF29AB4D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A491A41B-327C-4D3D-9F24-B029B56CBB6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700-00001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700-00001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700-00001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700-00001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700-00001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00000000-0006-0000-08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8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5CC05AA0-06FB-4C98-B6FF-6D6D2B630756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D93B5C68-0999-493D-8111-743CFD49DA8D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4F2C7741-356F-4CCC-A86A-3D3946E3D21C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AEDD17DE-DDBB-4F71-9238-8929AD23C88E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ED460550-7C20-4AEA-BB41-7C632C3B4342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F06397E9-4B5C-4B28-BB80-51B1F15DF70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8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8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8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8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8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00000000-0006-0000-09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9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9FAA97AC-7E3F-4E46-B8F6-7211DF0C3451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057D941F-1A4F-4B84-8601-BE9E8946625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F8D7A56C-D3CB-4134-8CA4-46612F387878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DBACBA59-58FF-4443-8094-252F48BE50DF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D69C2A03-0E82-4188-AD06-40E2F2EAA7E6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DB1B1C96-6732-41E9-852F-BB437599FA02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9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9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9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9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9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00000000-0006-0000-0A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A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4D4DBD1D-F03C-48B3-9AAD-6926DF430CA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BBB63233-9CB9-451B-BA61-43D34366043C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617F4F42-3F22-437E-8F6C-69F637DE4E3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8FC6FC7D-D665-4BF5-A440-99E207B0BC2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70BC4596-F4D3-44F5-AF44-AE0964D992B5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1E8435ED-B464-464D-85A7-FB9476870311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A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A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A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A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A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<sst xmlns="http://schemas.openxmlformats.org/spreadsheetml/2006/main" count="1777" uniqueCount="536">
  <si>
    <t xml:space="preserve">Report No.:  </t>
  </si>
  <si>
    <t xml:space="preserve">Date This Report:  </t>
  </si>
  <si>
    <t xml:space="preserve">Date Last Report:  </t>
  </si>
  <si>
    <t xml:space="preserve">Project No.:  </t>
  </si>
  <si>
    <t xml:space="preserve">Mix ID:  </t>
  </si>
  <si>
    <t xml:space="preserve">Plant Name and Location:  </t>
  </si>
  <si>
    <t xml:space="preserve">Contractor:  </t>
  </si>
  <si>
    <t xml:space="preserve">Contract ID:  </t>
  </si>
  <si>
    <t xml:space="preserve">County:  </t>
  </si>
  <si>
    <t xml:space="preserve">Coarse Aggregate    T-203 A #:  </t>
  </si>
  <si>
    <t xml:space="preserve">Fine Aggregate   T-203 A #:  </t>
  </si>
  <si>
    <t xml:space="preserve">Plant Monitor's Name:  </t>
  </si>
  <si>
    <t xml:space="preserve">Plant Monitor's Certification No.:  </t>
  </si>
  <si>
    <t>Coarse</t>
  </si>
  <si>
    <t>Intermediate</t>
  </si>
  <si>
    <t>Fine</t>
  </si>
  <si>
    <t>Aggregate</t>
  </si>
  <si>
    <t>#200</t>
  </si>
  <si>
    <t xml:space="preserve">Project No.: </t>
  </si>
  <si>
    <t xml:space="preserve">Contract ID: </t>
  </si>
  <si>
    <t xml:space="preserve">Report No.: </t>
  </si>
  <si>
    <t xml:space="preserve">Plant Name: </t>
  </si>
  <si>
    <t xml:space="preserve">County: </t>
  </si>
  <si>
    <t xml:space="preserve">Date This Report: </t>
  </si>
  <si>
    <t xml:space="preserve">Date Of Last Report: </t>
  </si>
  <si>
    <t>Central</t>
  </si>
  <si>
    <t>Paving</t>
  </si>
  <si>
    <t>Total</t>
  </si>
  <si>
    <t>Remarks</t>
  </si>
  <si>
    <t xml:space="preserve">Monitor: </t>
  </si>
  <si>
    <t>COARSE   SAMPLE</t>
  </si>
  <si>
    <t xml:space="preserve">   Sieve Accuracy= </t>
  </si>
  <si>
    <t>%</t>
  </si>
  <si>
    <t>% Retd.</t>
  </si>
  <si>
    <t>% Pass</t>
  </si>
  <si>
    <t>% Final</t>
  </si>
  <si>
    <t>Specs</t>
  </si>
  <si>
    <t xml:space="preserve">1 1/2 " Sieve   </t>
  </si>
  <si>
    <t xml:space="preserve">1 " Sieve   </t>
  </si>
  <si>
    <t xml:space="preserve">3/4 " Sieve   </t>
  </si>
  <si>
    <t xml:space="preserve">1/2 " Sieve   </t>
  </si>
  <si>
    <t xml:space="preserve">3/8 " Sieve   </t>
  </si>
  <si>
    <t xml:space="preserve">#4 Sieve   </t>
  </si>
  <si>
    <t xml:space="preserve">#8 Sieve   </t>
  </si>
  <si>
    <t>W</t>
  </si>
  <si>
    <t>A</t>
  </si>
  <si>
    <t xml:space="preserve">  Pan   </t>
  </si>
  <si>
    <t>S</t>
  </si>
  <si>
    <t xml:space="preserve">  Wash Loss   </t>
  </si>
  <si>
    <t>H</t>
  </si>
  <si>
    <t xml:space="preserve">  Total   </t>
  </si>
  <si>
    <t>INTERMEDIATE   SAMPLE</t>
  </si>
  <si>
    <t xml:space="preserve">Sieve Accuracy= </t>
  </si>
  <si>
    <t>FINE  SAMPLE</t>
  </si>
  <si>
    <t xml:space="preserve">   Pan  </t>
  </si>
  <si>
    <t xml:space="preserve">   Wash  </t>
  </si>
  <si>
    <t xml:space="preserve">Structures Design Number :  </t>
  </si>
  <si>
    <t>Comply</t>
  </si>
  <si>
    <t>Y/N</t>
  </si>
  <si>
    <t>Ready</t>
  </si>
  <si>
    <t>Structure</t>
  </si>
  <si>
    <t>Incidental</t>
  </si>
  <si>
    <t>Patching</t>
  </si>
  <si>
    <t>Check Mix( x )</t>
  </si>
  <si>
    <t>Check One( x )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</si>
  <si>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</si>
  <si>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</si>
  <si>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</si>
  <si>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</si>
  <si>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</si>
  <si>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</si>
  <si>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</si>
  <si>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</si>
  <si>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</si>
  <si>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</si>
  <si>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</si>
  <si>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 xml:space="preserve">#16 Sieve   </t>
  </si>
  <si>
    <t xml:space="preserve">#30 Sieve   </t>
  </si>
  <si>
    <t xml:space="preserve">#50 Sieve   </t>
  </si>
  <si>
    <t xml:space="preserve">#100 Sieve   </t>
  </si>
  <si>
    <t xml:space="preserve">#200 Sieve   </t>
  </si>
  <si>
    <t>Grad 1</t>
  </si>
  <si>
    <t>Grad 2</t>
  </si>
  <si>
    <t>Grad 3</t>
  </si>
  <si>
    <t>GRADATION 1</t>
  </si>
  <si>
    <t>ENTER</t>
  </si>
  <si>
    <t>Volume of Coarse Aggregate per Cubic Yard</t>
  </si>
  <si>
    <t>Volume of Intermediate Aggregate per Cubic Yard</t>
  </si>
  <si>
    <t>Volume of Fine Aggregate per Cubic Yard</t>
  </si>
  <si>
    <t>Combined</t>
  </si>
  <si>
    <t>CDM</t>
  </si>
  <si>
    <t>Sieve</t>
  </si>
  <si>
    <t>Gradation</t>
  </si>
  <si>
    <t>Target</t>
  </si>
  <si>
    <t>Minimum</t>
  </si>
  <si>
    <t>Maximum</t>
  </si>
  <si>
    <t>Within</t>
  </si>
  <si>
    <t>Size</t>
  </si>
  <si>
    <t>Percent</t>
  </si>
  <si>
    <t>Passing</t>
  </si>
  <si>
    <t>1.5"</t>
  </si>
  <si>
    <t>Gradation 2</t>
  </si>
  <si>
    <t>Gradation 3</t>
  </si>
  <si>
    <t xml:space="preserve">Intermediate Aggregate    T-203 A #:  </t>
  </si>
  <si>
    <t>NA</t>
  </si>
  <si>
    <t xml:space="preserve">Contractor: </t>
  </si>
  <si>
    <t xml:space="preserve">Structures Des. No: </t>
  </si>
  <si>
    <t xml:space="preserve">Coarse Aggregate Source:  </t>
  </si>
  <si>
    <t xml:space="preserve">Intermediate Aggregate Source:  </t>
  </si>
  <si>
    <t xml:space="preserve">Fine Aggregate Source:  </t>
  </si>
  <si>
    <t xml:space="preserve">1/2" Sieve   </t>
  </si>
  <si>
    <t>1, 7, or Blank</t>
  </si>
  <si>
    <t>37.5 mm</t>
  </si>
  <si>
    <t>19 mm</t>
  </si>
  <si>
    <t>12.5 mm</t>
  </si>
  <si>
    <t>25 mm</t>
  </si>
  <si>
    <t>9.5 mm</t>
  </si>
  <si>
    <t>4.75 mm</t>
  </si>
  <si>
    <t>2.36 mm</t>
  </si>
  <si>
    <t>75 um</t>
  </si>
  <si>
    <t>1.18 mm</t>
  </si>
  <si>
    <t>600 um</t>
  </si>
  <si>
    <t>300 um</t>
  </si>
  <si>
    <t>150 um</t>
  </si>
  <si>
    <t>Date Sampled</t>
  </si>
  <si>
    <t>Sample ID</t>
  </si>
  <si>
    <t>Agg %</t>
  </si>
  <si>
    <t>Target Gradation</t>
  </si>
  <si>
    <t>#200 Max</t>
  </si>
  <si>
    <t>FINE AGGREGATE</t>
  </si>
  <si>
    <t>INTERMEDIATE AGGREGATE</t>
  </si>
  <si>
    <t>COARSE AGGREGATE</t>
  </si>
  <si>
    <t>COMBINED AGGREGATE GRADATION</t>
  </si>
  <si>
    <t>AGG %</t>
  </si>
  <si>
    <t>Coarse
ness
Factor</t>
  </si>
  <si>
    <t>Work
ability 
Factor</t>
  </si>
  <si>
    <t>QMC 
PAY
ZONE</t>
  </si>
  <si>
    <t>Lot Average - VERIFICATION</t>
  </si>
  <si>
    <t>Lot Average - CONTRACTOR</t>
  </si>
  <si>
    <t>Gradation 1</t>
  </si>
  <si>
    <t>Gradation 4</t>
  </si>
  <si>
    <t>Gradation 5</t>
  </si>
  <si>
    <t>CF</t>
  </si>
  <si>
    <t>WF</t>
  </si>
  <si>
    <t>GRADATION 2</t>
  </si>
  <si>
    <t>GRADATION 3</t>
  </si>
  <si>
    <t>GRADATION 4</t>
  </si>
  <si>
    <t>GRADATION 5</t>
  </si>
  <si>
    <t>PCC GRADATION TEST REPORT - VERIFICATION</t>
  </si>
  <si>
    <t>Distribution:     _____   DME     _____   Proj. Eng.     _____   Contractor</t>
  </si>
  <si>
    <t>821283 COMPUTER</t>
  </si>
  <si>
    <t xml:space="preserve">   Sieve Accuracy = </t>
  </si>
  <si>
    <t xml:space="preserve">Sieve Accuracy = </t>
  </si>
  <si>
    <t xml:space="preserve">SOURCE: </t>
  </si>
  <si>
    <t xml:space="preserve">T-203 A# </t>
  </si>
  <si>
    <t xml:space="preserve">GRAD NO.: </t>
  </si>
  <si>
    <t xml:space="preserve">Mix ID: </t>
  </si>
  <si>
    <t xml:space="preserve">Orig. Dry Weight:  </t>
  </si>
  <si>
    <t xml:space="preserve">Dry Wt. Washed:  </t>
  </si>
  <si>
    <t xml:space="preserve">Proj. No.:  </t>
  </si>
  <si>
    <t xml:space="preserve">Sample ID:  </t>
  </si>
  <si>
    <t xml:space="preserve">Compies (Y/N)  </t>
  </si>
  <si>
    <t xml:space="preserve">Central Plant (X):  </t>
  </si>
  <si>
    <t xml:space="preserve">Ready Mix (X):  </t>
  </si>
  <si>
    <t xml:space="preserve">Paving (X):  </t>
  </si>
  <si>
    <t xml:space="preserve">Structural (X):  </t>
  </si>
  <si>
    <t xml:space="preserve">Incidental (X):  </t>
  </si>
  <si>
    <t xml:space="preserve">Patching (X):  </t>
  </si>
  <si>
    <t xml:space="preserve">Report Weekly (X):  </t>
  </si>
  <si>
    <t xml:space="preserve">Coarse Aggregate Gradation No. :  </t>
  </si>
  <si>
    <t xml:space="preserve">Fine Aggregate Gradation No. :  </t>
  </si>
  <si>
    <t xml:space="preserve">C.A. Specification Limits 1 1/2" Sieve:  </t>
  </si>
  <si>
    <t xml:space="preserve">C.A. Specification Limits 1" Sieve:  </t>
  </si>
  <si>
    <t xml:space="preserve">C.A. Specification Limits 3/4" Sieve:  </t>
  </si>
  <si>
    <t xml:space="preserve">C.A. Specification Limits 1/2" Sieve:  </t>
  </si>
  <si>
    <t xml:space="preserve">C.A. Specification Limits 3/8" Sieve:  </t>
  </si>
  <si>
    <t xml:space="preserve">C.A. Specification Limits #4 Sieve:  </t>
  </si>
  <si>
    <t xml:space="preserve">C.A. Specification Limits #8 Sieve:  </t>
  </si>
  <si>
    <t xml:space="preserve">C.A. Specification Limits #200 Sieve:  </t>
  </si>
  <si>
    <t xml:space="preserve">F.A. Specification Limits 3/8" Sieve:  </t>
  </si>
  <si>
    <t xml:space="preserve">F.A. Specification Limits #4 Sieve:  </t>
  </si>
  <si>
    <t xml:space="preserve">F.A. Specification Limits #8 Sieve:  </t>
  </si>
  <si>
    <t xml:space="preserve">F.A. Specification Limits #30 Sieve:  </t>
  </si>
  <si>
    <t xml:space="preserve">F.A. Specification Limits #200 Sieve:  </t>
  </si>
  <si>
    <t xml:space="preserve">Contractor CF (QMC):  </t>
  </si>
  <si>
    <t xml:space="preserve">Contractor Lot Pay Zone:  </t>
  </si>
  <si>
    <t>A-2</t>
  </si>
  <si>
    <t>A-3</t>
  </si>
  <si>
    <t>A-4</t>
  </si>
  <si>
    <t>A-5</t>
  </si>
  <si>
    <t>A-6</t>
  </si>
  <si>
    <t>A-V</t>
  </si>
  <si>
    <t>A-V47B</t>
  </si>
  <si>
    <t>B-2</t>
  </si>
  <si>
    <t>B-3</t>
  </si>
  <si>
    <t>B-4</t>
  </si>
  <si>
    <t>B-5</t>
  </si>
  <si>
    <t>B-6</t>
  </si>
  <si>
    <t>B-7</t>
  </si>
  <si>
    <t>B-8</t>
  </si>
  <si>
    <t>BR</t>
  </si>
  <si>
    <t>B-V</t>
  </si>
  <si>
    <t>B-V47B</t>
  </si>
  <si>
    <t>C-2</t>
  </si>
  <si>
    <t>C-3</t>
  </si>
  <si>
    <t>C-3WR</t>
  </si>
  <si>
    <t>C-4</t>
  </si>
  <si>
    <t>C-4WR</t>
  </si>
  <si>
    <t>C-5</t>
  </si>
  <si>
    <t>C-5WR</t>
  </si>
  <si>
    <t>C-6</t>
  </si>
  <si>
    <t>C-6WR</t>
  </si>
  <si>
    <t>C-V47B</t>
  </si>
  <si>
    <t>C-V47BF</t>
  </si>
  <si>
    <t>CV-HPC-D</t>
  </si>
  <si>
    <t>CV-HPC-S</t>
  </si>
  <si>
    <t>D-57</t>
  </si>
  <si>
    <t>D-57-6</t>
  </si>
  <si>
    <t>HPC-D</t>
  </si>
  <si>
    <t>HPC-S</t>
  </si>
  <si>
    <t>M-3</t>
  </si>
  <si>
    <t>M-4</t>
  </si>
  <si>
    <t>M-V</t>
  </si>
  <si>
    <t>O-4WR</t>
  </si>
  <si>
    <t>QMC</t>
  </si>
  <si>
    <t>Cert No.</t>
  </si>
  <si>
    <t>Rev  01/98</t>
  </si>
  <si>
    <t>Plantinf</t>
  </si>
  <si>
    <t>Plant  Information  Sheet</t>
  </si>
  <si>
    <t xml:space="preserve">Project  No.: </t>
  </si>
  <si>
    <t xml:space="preserve">Contract ID.: </t>
  </si>
  <si>
    <t xml:space="preserve">Prime Contractor: </t>
  </si>
  <si>
    <t xml:space="preserve">Plant Type: </t>
  </si>
  <si>
    <t xml:space="preserve">Plant Location: </t>
  </si>
  <si>
    <t xml:space="preserve">Pollution Control: </t>
  </si>
  <si>
    <t xml:space="preserve">Storm Water Permit No.: </t>
  </si>
  <si>
    <t xml:space="preserve">Date Calibrated: </t>
  </si>
  <si>
    <t xml:space="preserve">By: </t>
  </si>
  <si>
    <t>Material  Sources</t>
  </si>
  <si>
    <t>Phone No.</t>
  </si>
  <si>
    <t>Fax No.</t>
  </si>
  <si>
    <t xml:space="preserve">Plant Superintendent: </t>
  </si>
  <si>
    <t xml:space="preserve">Certified Plant Inspector: </t>
  </si>
  <si>
    <t xml:space="preserve">Certification No.: </t>
  </si>
  <si>
    <t xml:space="preserve">Certified Plant Monitor: </t>
  </si>
  <si>
    <t xml:space="preserve">Project Engineer: </t>
  </si>
  <si>
    <t xml:space="preserve">Project Manager: </t>
  </si>
  <si>
    <t xml:space="preserve">Project Inspector: </t>
  </si>
  <si>
    <t xml:space="preserve">Materials Inspector: </t>
  </si>
  <si>
    <t xml:space="preserve">Resident Auditor: </t>
  </si>
  <si>
    <t xml:space="preserve">TC Auditor: </t>
  </si>
  <si>
    <t xml:space="preserve">Form  E213 </t>
  </si>
  <si>
    <t xml:space="preserve">Page No.: </t>
  </si>
  <si>
    <t>Cement &amp; Fly Ash</t>
  </si>
  <si>
    <t>Sampling</t>
  </si>
  <si>
    <t>Concrete</t>
  </si>
  <si>
    <t>Stockpiles</t>
  </si>
  <si>
    <t>Agg. &amp; Admixtures</t>
  </si>
  <si>
    <t>&amp; Testing</t>
  </si>
  <si>
    <t>Test</t>
  </si>
  <si>
    <t>Proportion   Control</t>
  </si>
  <si>
    <t>Test  Equipment</t>
  </si>
  <si>
    <t>Documentation</t>
  </si>
  <si>
    <t>P</t>
  </si>
  <si>
    <t>I</t>
  </si>
  <si>
    <t>C</t>
  </si>
  <si>
    <t>D</t>
  </si>
  <si>
    <t>G</t>
  </si>
  <si>
    <t>M</t>
  </si>
  <si>
    <t>F</t>
  </si>
  <si>
    <t>B</t>
  </si>
  <si>
    <t>T</t>
  </si>
  <si>
    <t>Q</t>
  </si>
  <si>
    <t>r</t>
  </si>
  <si>
    <t>n</t>
  </si>
  <si>
    <t>o</t>
  </si>
  <si>
    <t>e</t>
  </si>
  <si>
    <t>p</t>
  </si>
  <si>
    <t>u</t>
  </si>
  <si>
    <t>l</t>
  </si>
  <si>
    <t>c</t>
  </si>
  <si>
    <t>d</t>
  </si>
  <si>
    <t>i</t>
  </si>
  <si>
    <t>a</t>
  </si>
  <si>
    <t>y</t>
  </si>
  <si>
    <t>h</t>
  </si>
  <si>
    <t>t</t>
  </si>
  <si>
    <t>g</t>
  </si>
  <si>
    <t>m</t>
  </si>
  <si>
    <t>x</t>
  </si>
  <si>
    <t>s</t>
  </si>
  <si>
    <t>v</t>
  </si>
  <si>
    <t>k</t>
  </si>
  <si>
    <t>f</t>
  </si>
  <si>
    <t>E</t>
  </si>
  <si>
    <t>R</t>
  </si>
  <si>
    <t>O</t>
  </si>
  <si>
    <t>.</t>
  </si>
  <si>
    <t>Date</t>
  </si>
  <si>
    <t>By:</t>
  </si>
  <si>
    <t xml:space="preserve">Complies </t>
  </si>
  <si>
    <t>=</t>
  </si>
  <si>
    <t>Y</t>
  </si>
  <si>
    <t>Discrepancy</t>
  </si>
  <si>
    <t>Refer  To  Daily  Diary  For  Discrepancies.</t>
  </si>
  <si>
    <t>Not Applicable</t>
  </si>
  <si>
    <t>Rev 01/98</t>
  </si>
  <si>
    <t>Form  E210</t>
  </si>
  <si>
    <t>Plant  Site  Inspection  List ( PCC )</t>
  </si>
  <si>
    <t>Complies</t>
  </si>
  <si>
    <t>Checked</t>
  </si>
  <si>
    <t>Item</t>
  </si>
  <si>
    <t>Yes</t>
  </si>
  <si>
    <t>No</t>
  </si>
  <si>
    <t>By</t>
  </si>
  <si>
    <t>Bins</t>
  </si>
  <si>
    <t>Bin Dividers</t>
  </si>
  <si>
    <t>Bin Supports</t>
  </si>
  <si>
    <t>Screens</t>
  </si>
  <si>
    <t>Guards</t>
  </si>
  <si>
    <t>Ladders</t>
  </si>
  <si>
    <t>Railings</t>
  </si>
  <si>
    <t>Belt  Lockouts</t>
  </si>
  <si>
    <t>Sampling Location</t>
  </si>
  <si>
    <t>Aggregate Scales</t>
  </si>
  <si>
    <t>Cement Scales</t>
  </si>
  <si>
    <t>Fly Ash Scales</t>
  </si>
  <si>
    <t>Admixture Dispensers</t>
  </si>
  <si>
    <t>Water Meter</t>
  </si>
  <si>
    <t>Cement Storage</t>
  </si>
  <si>
    <t>Fly Ash Storage</t>
  </si>
  <si>
    <t>Mixing Equipment</t>
  </si>
  <si>
    <t>Lab Location</t>
  </si>
  <si>
    <t>Lab Condition</t>
  </si>
  <si>
    <t>Lab Equipment</t>
  </si>
  <si>
    <t>Air  Condition</t>
  </si>
  <si>
    <t>Heating</t>
  </si>
  <si>
    <t>Telephone</t>
  </si>
  <si>
    <t>Water</t>
  </si>
  <si>
    <t>Exhaust Fan</t>
  </si>
  <si>
    <t>Restroom</t>
  </si>
  <si>
    <t>Fax Machine</t>
  </si>
  <si>
    <t>Computer</t>
  </si>
  <si>
    <t>If an item does not apply to the project, write ( not applicable ) in the remarks column.</t>
  </si>
  <si>
    <t>PC Concrete Beam Record</t>
  </si>
  <si>
    <t>Form  E114</t>
  </si>
  <si>
    <t xml:space="preserve"> Item Code: </t>
  </si>
  <si>
    <t xml:space="preserve">Description: </t>
  </si>
  <si>
    <t xml:space="preserve">Category No.: </t>
  </si>
  <si>
    <t>Beams Made Information</t>
  </si>
  <si>
    <t>Beam Break Information</t>
  </si>
  <si>
    <t>Indicated</t>
  </si>
  <si>
    <t>Actual</t>
  </si>
  <si>
    <t>Mod. Of</t>
  </si>
  <si>
    <t>Mix</t>
  </si>
  <si>
    <t>Beam</t>
  </si>
  <si>
    <t>Air</t>
  </si>
  <si>
    <t>Slump</t>
  </si>
  <si>
    <t>W/C</t>
  </si>
  <si>
    <t>Age</t>
  </si>
  <si>
    <t>Loc.</t>
  </si>
  <si>
    <t>Depth</t>
  </si>
  <si>
    <t>Width</t>
  </si>
  <si>
    <t>Load</t>
  </si>
  <si>
    <t>Comp.</t>
  </si>
  <si>
    <t>Rupture</t>
  </si>
  <si>
    <t>Spec.</t>
  </si>
  <si>
    <t>Made</t>
  </si>
  <si>
    <t>Number</t>
  </si>
  <si>
    <t>No.</t>
  </si>
  <si>
    <t>Time</t>
  </si>
  <si>
    <t>(in)</t>
  </si>
  <si>
    <t>Ratio</t>
  </si>
  <si>
    <t>(Days)</t>
  </si>
  <si>
    <t>( in )</t>
  </si>
  <si>
    <t>( lbs )</t>
  </si>
  <si>
    <t>Factor</t>
  </si>
  <si>
    <t>( psi )</t>
  </si>
  <si>
    <t>psi</t>
  </si>
  <si>
    <t xml:space="preserve">Checked By: </t>
  </si>
  <si>
    <t xml:space="preserve">Daily  3  </t>
  </si>
  <si>
    <t xml:space="preserve">Date: </t>
  </si>
  <si>
    <t xml:space="preserve">Sunrise: </t>
  </si>
  <si>
    <t xml:space="preserve">High: </t>
  </si>
  <si>
    <t xml:space="preserve">Day: </t>
  </si>
  <si>
    <t xml:space="preserve">Sunset: </t>
  </si>
  <si>
    <t xml:space="preserve">Low: </t>
  </si>
  <si>
    <t xml:space="preserve">Weather: </t>
  </si>
  <si>
    <t>Daily  4</t>
  </si>
  <si>
    <t>D.O.T.</t>
  </si>
  <si>
    <t>Prod. / C.P.I.</t>
  </si>
  <si>
    <t>1.5" / 37.5mm</t>
  </si>
  <si>
    <t>1" / 25.0mm</t>
  </si>
  <si>
    <t>3/4" / 19.0mm</t>
  </si>
  <si>
    <t>1/2" / 12.5mm</t>
  </si>
  <si>
    <t>3/8" / 9.5mm</t>
  </si>
  <si>
    <t>#4 / 4.75mm</t>
  </si>
  <si>
    <t>#8 / 2.36mm</t>
  </si>
  <si>
    <t>#16 / 1.18mm</t>
  </si>
  <si>
    <t>#30 / 600um</t>
  </si>
  <si>
    <t>#50 / 300um</t>
  </si>
  <si>
    <t>#100 / 150um</t>
  </si>
  <si>
    <t>#200 / 75um</t>
  </si>
  <si>
    <t>Retained Totals (100.0%)</t>
  </si>
  <si>
    <t>Comments:</t>
  </si>
  <si>
    <t xml:space="preserve"> </t>
  </si>
  <si>
    <t>cc:</t>
  </si>
  <si>
    <t>DME, RCE</t>
  </si>
  <si>
    <t>Project No.:</t>
  </si>
  <si>
    <t>Contract ID:</t>
  </si>
  <si>
    <t>Date Sampled:</t>
  </si>
  <si>
    <t>Plant Name:</t>
  </si>
  <si>
    <t>County:</t>
  </si>
  <si>
    <t>Gradation Date:</t>
  </si>
  <si>
    <t>Contractor:</t>
  </si>
  <si>
    <t>Mix Design Number:</t>
  </si>
  <si>
    <t xml:space="preserve">Design No.: </t>
  </si>
  <si>
    <t>Coarse Agg. Source:</t>
  </si>
  <si>
    <t>Intermediate Agg. Source:</t>
  </si>
  <si>
    <t>Fine Agg. Source:</t>
  </si>
  <si>
    <t>Monitor:</t>
  </si>
  <si>
    <t>Cert. No.:</t>
  </si>
  <si>
    <t xml:space="preserve">Proper Equipment: </t>
  </si>
  <si>
    <t>C.P.I.:</t>
  </si>
  <si>
    <t xml:space="preserve">Specification: </t>
  </si>
  <si>
    <t>D.O.T. Coarse Aggregate Percent Retained</t>
  </si>
  <si>
    <t>Prod. / C. P. I. Coarse Aggregate Percent Retained</t>
  </si>
  <si>
    <t>Fraction Difference</t>
  </si>
  <si>
    <t>Applicable Tolerance</t>
  </si>
  <si>
    <t>Minus #200</t>
  </si>
  <si>
    <t>D.O.T. Intermediate Aggregate Percent Retained</t>
  </si>
  <si>
    <t>Prod. / C. P. I. Intermediate Aggregate Percent Retained</t>
  </si>
  <si>
    <t>D.O.T. Fine Aggregate Percent Retained</t>
  </si>
  <si>
    <t>Prod. / C. P. I. Fine Aggregate Percent Retained</t>
  </si>
  <si>
    <t>Care of Equipment</t>
  </si>
  <si>
    <t xml:space="preserve">Comments: </t>
  </si>
  <si>
    <t>Sampling Procedure</t>
  </si>
  <si>
    <t>Splitting Procedure</t>
  </si>
  <si>
    <t>Sieving to Completion</t>
  </si>
  <si>
    <t>Computations</t>
  </si>
  <si>
    <t>Reporting</t>
  </si>
  <si>
    <t xml:space="preserve">CPI Name:  </t>
  </si>
  <si>
    <t xml:space="preserve">CPI Cert No.:  </t>
  </si>
  <si>
    <t>Good</t>
  </si>
  <si>
    <t>Fair</t>
  </si>
  <si>
    <t>Poor</t>
  </si>
  <si>
    <t xml:space="preserve">Specification:  </t>
  </si>
  <si>
    <t>Enter CPI QMC or QC gradations for comparison</t>
  </si>
  <si>
    <t>Item Description</t>
  </si>
  <si>
    <t>Form  #</t>
  </si>
  <si>
    <t>Page</t>
  </si>
  <si>
    <t xml:space="preserve"> Plant  Information  Sheet</t>
  </si>
  <si>
    <t xml:space="preserve"> Plant Site Inspection List</t>
  </si>
  <si>
    <t>E210</t>
  </si>
  <si>
    <t>E213</t>
  </si>
  <si>
    <t>Proj Info</t>
  </si>
  <si>
    <t>Grad 1- Grad 5</t>
  </si>
  <si>
    <t>CPI Gradations</t>
  </si>
  <si>
    <t>Beams Made &amp; Tested</t>
  </si>
  <si>
    <t>Project Information</t>
  </si>
  <si>
    <t>821283C</t>
  </si>
  <si>
    <t>Gradation Report - Verification</t>
  </si>
  <si>
    <t>CPI Grad</t>
  </si>
  <si>
    <t>Gradation Sieve Analysis (5)</t>
  </si>
  <si>
    <t>English Structural Plant Monitor Book Index</t>
  </si>
  <si>
    <t xml:space="preserve">Cement Source:  </t>
  </si>
  <si>
    <t xml:space="preserve">Fly Ash Source:  </t>
  </si>
  <si>
    <t xml:space="preserve">GGBFS Source:  </t>
  </si>
  <si>
    <t xml:space="preserve">Air Entraining Brand / Source:  </t>
  </si>
  <si>
    <t xml:space="preserve">Water Reducer Brand / Source:  </t>
  </si>
  <si>
    <t xml:space="preserve">Retarder Brand / Source:  </t>
  </si>
  <si>
    <t>E114 or M114</t>
  </si>
  <si>
    <t>Form  M114</t>
  </si>
  <si>
    <t xml:space="preserve">Contractor WF (QMC):  </t>
  </si>
  <si>
    <t>Source</t>
  </si>
  <si>
    <t>A Number</t>
  </si>
  <si>
    <t xml:space="preserve">Date Sampled: </t>
  </si>
  <si>
    <t>VER 9-09</t>
  </si>
  <si>
    <t>Rev 9/09</t>
  </si>
  <si>
    <t xml:space="preserve">Coarse </t>
  </si>
  <si>
    <t>Enter aggregate source &amp; A number below, if different than Gradation 1.</t>
  </si>
  <si>
    <t>Enter Aggregate Percentages from Plant Report at Time Sample was taken.</t>
  </si>
  <si>
    <t>Monitor  Checks  For  Structural  Concrete</t>
  </si>
  <si>
    <t>Monitor  Checks</t>
  </si>
  <si>
    <t>Diary</t>
  </si>
  <si>
    <t>Diary  3 or 4</t>
  </si>
  <si>
    <t>Mix INFO for BR/QMC/HPC-D ONLY</t>
  </si>
  <si>
    <t>A-L2</t>
  </si>
  <si>
    <t>A-L3</t>
  </si>
  <si>
    <t>A-L4</t>
  </si>
  <si>
    <t>A-L5</t>
  </si>
  <si>
    <t>B-L2</t>
  </si>
  <si>
    <t>B-L3</t>
  </si>
  <si>
    <t>B-L4</t>
  </si>
  <si>
    <t>B-L5</t>
  </si>
  <si>
    <t>C-L2</t>
  </si>
  <si>
    <t>C-L3</t>
  </si>
  <si>
    <t>C-L3WR</t>
  </si>
  <si>
    <t>C-L4</t>
  </si>
  <si>
    <t>C-L4WR</t>
  </si>
  <si>
    <t>C-L5</t>
  </si>
  <si>
    <t>C-L5WR</t>
  </si>
  <si>
    <t>C-V</t>
  </si>
  <si>
    <t>FM</t>
  </si>
  <si>
    <t>HPC-O</t>
  </si>
  <si>
    <t>M-5</t>
  </si>
  <si>
    <t>M-V47B</t>
  </si>
  <si>
    <t>X-2</t>
  </si>
  <si>
    <t>X-3</t>
  </si>
  <si>
    <t>X-4</t>
  </si>
  <si>
    <r>
      <t xml:space="preserve">&lt;=Enter </t>
    </r>
    <r>
      <rPr>
        <b/>
        <sz val="12"/>
        <color indexed="12"/>
        <rFont val="Arial MT"/>
      </rPr>
      <t>Max. % passing</t>
    </r>
    <r>
      <rPr>
        <b/>
        <sz val="12"/>
        <rFont val="Arial MT"/>
      </rPr>
      <t xml:space="preserve"> 200 (1.5 or 2.5)</t>
    </r>
  </si>
  <si>
    <t>2, 3, 4, 5, 6, or Blank</t>
  </si>
  <si>
    <t xml:space="preserve">Intermediate Aggregate Gradation No. :  </t>
  </si>
  <si>
    <t xml:space="preserve">I.A. Specification Limits 1/2" Sieve:  </t>
  </si>
  <si>
    <t xml:space="preserve">I.A. Specification Limits #8 Sieve:  </t>
  </si>
  <si>
    <t>Rev 12/18</t>
  </si>
  <si>
    <t xml:space="preserve">Line No.: </t>
  </si>
  <si>
    <t>*Length</t>
  </si>
  <si>
    <t xml:space="preserve">I.A. Specification Limits #4 Sieve:  </t>
  </si>
  <si>
    <t>2 , 6 or blank</t>
  </si>
  <si>
    <t xml:space="preserve">I.A. Specification Limits 3/4" Sieve:  </t>
  </si>
  <si>
    <t xml:space="preserve">I.A. Specification Limits 3/8" Sieve:  </t>
  </si>
  <si>
    <t xml:space="preserve">I.A. Specification Limits #200 Sieve:  </t>
  </si>
  <si>
    <r>
      <t>Enter Required Fields for
HPC-D or QMC Mixes
When (</t>
    </r>
    <r>
      <rPr>
        <b/>
        <i/>
        <sz val="10"/>
        <color indexed="10"/>
        <rFont val="Arial MT"/>
      </rPr>
      <t>ENTER</t>
    </r>
    <r>
      <rPr>
        <b/>
        <i/>
        <sz val="10"/>
        <rFont val="Arial MT"/>
      </rPr>
      <t>) displays</t>
    </r>
  </si>
  <si>
    <t>HPC-D Mix Information</t>
  </si>
  <si>
    <t>HPC-D Mix</t>
  </si>
  <si>
    <t>IM 216 Correlation</t>
  </si>
  <si>
    <t>Gradation Correlation I.M. 216</t>
  </si>
  <si>
    <t>IM 216</t>
  </si>
  <si>
    <t xml:space="preserve">Form  E215 </t>
  </si>
  <si>
    <t xml:space="preserve">Plant  Report </t>
  </si>
  <si>
    <t>Plant  Report</t>
  </si>
  <si>
    <t>/</t>
  </si>
  <si>
    <t>Monitor  Checks ( Structural )</t>
  </si>
  <si>
    <t>E215</t>
  </si>
  <si>
    <t>04/20/23 tdh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</si>
</sst>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mm/dd/yy_)"/>
    <numFmt numFmtId="165" formatCode="0_)"/>
    <numFmt numFmtId="166" formatCode=";;;"/>
    <numFmt numFmtId="167" formatCode="0.0_)"/>
    <numFmt numFmtId="168" formatCode="0.0%"/>
    <numFmt numFmtId="169" formatCode="0.00_)"/>
    <numFmt numFmtId="170" formatCode="0.000_)"/>
    <numFmt numFmtId="171" formatCode="#,##0.0_);\(#,##0.0\)"/>
    <numFmt numFmtId="172" formatCode="0.0"/>
    <numFmt numFmtId="173" formatCode="0.000"/>
    <numFmt numFmtId="174" formatCode="hh:mm_)"/>
    <numFmt numFmtId="175" formatCode="m/d/yy"/>
    <numFmt numFmtId="176" formatCode="0.000000_)"/>
    <numFmt numFmtId="177" formatCode="m/d/yy;@"/>
    <numFmt numFmtId="178" formatCode="h:mm;@"/>
  </numFmts>
  <fonts count="79">
    <font>
      <sz val="12"/>
      <name val="Arial MT"/>
    </font>
    <font>
      <sz val="12"/>
      <color indexed="8"/>
      <name val="Arial"/>
      <family val="2"/>
    </font>
    <font>
      <b/>
      <sz val="12"/>
      <name val="Arial MT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MT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0"/>
      <name val="Arial MT"/>
      <family val="2"/>
    </font>
    <font>
      <b/>
      <sz val="12"/>
      <name val="Arial MT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2"/>
      <name val="Arial MT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sz val="12"/>
      <name val="Arial MT"/>
    </font>
    <font>
      <sz val="12"/>
      <color indexed="10"/>
      <name val="Arial MT"/>
      <family val="2"/>
    </font>
    <font>
      <sz val="12"/>
      <name val="Arial MT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2"/>
      <name val="Arial"/>
      <family val="2"/>
    </font>
    <font>
      <sz val="12"/>
      <color indexed="12"/>
      <name val="Arial MT"/>
    </font>
    <font>
      <sz val="10"/>
      <name val="Arial MT"/>
    </font>
    <font>
      <sz val="13"/>
      <name val="Arial MT"/>
    </font>
    <font>
      <sz val="14.5"/>
      <name val="Arial MT"/>
    </font>
    <font>
      <b/>
      <sz val="14.5"/>
      <name val="Arial MT"/>
    </font>
    <font>
      <b/>
      <sz val="14.5"/>
      <color indexed="8"/>
      <name val="Arial"/>
      <family val="2"/>
    </font>
    <font>
      <sz val="12"/>
      <color indexed="8"/>
      <name val="Arial MT"/>
    </font>
    <font>
      <b/>
      <sz val="16"/>
      <color indexed="8"/>
      <name val="Arial"/>
      <family val="2"/>
    </font>
    <font>
      <b/>
      <i/>
      <sz val="10"/>
      <name val="Arial MT"/>
    </font>
    <font>
      <b/>
      <i/>
      <sz val="10"/>
      <color indexed="10"/>
      <name val="Arial MT"/>
    </font>
    <font>
      <b/>
      <i/>
      <sz val="12"/>
      <color indexed="10"/>
      <name val="Arial MT"/>
    </font>
    <font>
      <b/>
      <sz val="9"/>
      <name val="Arial MT"/>
    </font>
    <font>
      <sz val="9"/>
      <name val="Arial MT"/>
    </font>
    <font>
      <b/>
      <sz val="11"/>
      <name val="Arial MT"/>
    </font>
    <font>
      <sz val="11"/>
      <name val="Arial MT"/>
    </font>
    <font>
      <b/>
      <sz val="10"/>
      <name val="Arial MT"/>
    </font>
    <font>
      <sz val="10"/>
      <color indexed="12"/>
      <name val="Arial MT"/>
    </font>
    <font>
      <b/>
      <sz val="18"/>
      <color indexed="8"/>
      <name val="Arial"/>
      <family val="2"/>
    </font>
    <font>
      <sz val="16"/>
      <name val="Arial MT"/>
    </font>
    <font>
      <b/>
      <sz val="16"/>
      <name val="Arial MT"/>
    </font>
    <font>
      <b/>
      <sz val="18"/>
      <name val="Arial MT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8"/>
      <name val="Arial MT"/>
    </font>
    <font>
      <b/>
      <i/>
      <sz val="12"/>
      <name val="Arial MT"/>
    </font>
    <font>
      <b/>
      <sz val="16"/>
      <color indexed="22"/>
      <name val="Arial"/>
      <family val="2"/>
    </font>
    <font>
      <b/>
      <sz val="12"/>
      <color indexed="12"/>
      <name val="Arial MT"/>
    </font>
    <font>
      <sz val="11"/>
      <name val="Arial MT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 val="double"/>
      <sz val="10"/>
      <name val="Arial"/>
      <family val="2"/>
    </font>
    <font>
      <b/>
      <sz val="10"/>
      <name val="Arial MT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indexed="10"/>
      <name val="Arial"/>
      <family val="2"/>
    </font>
    <font>
      <sz val="10"/>
      <color indexed="10"/>
      <name val="Arial MT"/>
    </font>
    <font>
      <sz val="13"/>
      <color indexed="12"/>
      <name val="Arial"/>
      <family val="2"/>
    </font>
    <font>
      <sz val="13"/>
      <color indexed="8"/>
      <name val="Arial"/>
      <family val="2"/>
    </font>
    <font>
      <sz val="10"/>
      <color indexed="8"/>
      <name val="Arial MT"/>
    </font>
    <font>
      <sz val="12"/>
      <color indexed="8"/>
      <name val="Arial"/>
      <family val="2"/>
    </font>
    <font>
      <sz val="22"/>
      <color indexed="8"/>
      <name val="Arial"/>
      <family val="2"/>
    </font>
    <font>
      <sz val="18"/>
      <color indexed="8"/>
      <name val="Arial"/>
      <family val="2"/>
    </font>
    <font>
      <sz val="11"/>
      <name val="Arial"/>
      <family val="2"/>
    </font>
    <font>
      <sz val="12"/>
      <color indexed="9"/>
      <name val="Arial MT"/>
    </font>
    <font>
      <i/>
      <sz val="9"/>
      <name val="Arial MT"/>
    </font>
    <font>
      <i/>
      <sz val="10"/>
      <name val="Arial MT"/>
    </font>
    <font>
      <sz val="12"/>
      <color rgb="FF0000FF"/>
      <name val="Arial MT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gray125">
        <bgColor indexed="22"/>
      </patternFill>
    </fill>
    <fill>
      <patternFill patternType="solid">
        <fgColor indexed="40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165" fontId="0" fillId="0" borderId="0"/>
    <xf numFmtId="0" fontId="17" fillId="0" borderId="0"/>
    <xf numFmtId="0" fontId="60" fillId="2" borderId="0"/>
    <xf numFmtId="165" fontId="17" fillId="0" borderId="0"/>
  </cellStyleXfs>
  <cellXfs count="626">
    <xf numFmtId="165" fontId="0" fillId="0" borderId="0" xfId="0"/>
    <xf numFmtId="165" fontId="1" fillId="0" borderId="0" xfId="0" applyFont="1" applyProtection="1"/>
    <xf numFmtId="165" fontId="0" fillId="0" borderId="0" xfId="0" applyProtection="1"/>
    <xf numFmtId="165" fontId="4" fillId="0" borderId="0" xfId="0" applyFont="1" applyAlignment="1" applyProtection="1">
      <alignment horizontal="centerContinuous"/>
    </xf>
    <xf numFmtId="165" fontId="4" fillId="0" borderId="0" xfId="0" applyFont="1" applyAlignment="1" applyProtection="1">
      <alignment horizontal="centerContinuous" vertical="top"/>
    </xf>
    <xf numFmtId="165" fontId="1" fillId="0" borderId="0" xfId="0" applyFont="1" applyAlignment="1" applyProtection="1">
      <alignment horizontal="centerContinuous"/>
    </xf>
    <xf numFmtId="165" fontId="4" fillId="0" borderId="0" xfId="0" applyFont="1" applyProtection="1"/>
    <xf numFmtId="165" fontId="5" fillId="0" borderId="0" xfId="0" applyFont="1" applyProtection="1"/>
    <xf numFmtId="165" fontId="6" fillId="0" borderId="0" xfId="0" applyFont="1" applyProtection="1"/>
    <xf numFmtId="165" fontId="4" fillId="0" borderId="0" xfId="0" applyFont="1" applyAlignment="1" applyProtection="1">
      <alignment horizontal="right"/>
    </xf>
    <xf numFmtId="165" fontId="9" fillId="0" borderId="0" xfId="0" applyFont="1" applyProtection="1"/>
    <xf numFmtId="166" fontId="0" fillId="0" borderId="0" xfId="0" applyNumberFormat="1" applyProtection="1"/>
    <xf numFmtId="165" fontId="8" fillId="0" borderId="0" xfId="0" applyFont="1" applyProtection="1"/>
    <xf numFmtId="165" fontId="8" fillId="0" borderId="1" xfId="0" applyFont="1" applyBorder="1" applyAlignment="1" applyProtection="1">
      <alignment horizontal="center"/>
    </xf>
    <xf numFmtId="0" fontId="0" fillId="0" borderId="0" xfId="0" applyNumberFormat="1" applyProtection="1"/>
    <xf numFmtId="0" fontId="10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NumberFormat="1" applyFont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0" fillId="0" borderId="0" xfId="0" applyNumberFormat="1" applyFont="1" applyProtection="1"/>
    <xf numFmtId="165" fontId="10" fillId="0" borderId="1" xfId="0" applyFont="1" applyBorder="1" applyAlignment="1" applyProtection="1">
      <alignment horizontal="center"/>
    </xf>
    <xf numFmtId="165" fontId="12" fillId="0" borderId="0" xfId="0" applyFont="1" applyProtection="1"/>
    <xf numFmtId="0" fontId="11" fillId="0" borderId="0" xfId="0" applyNumberFormat="1" applyFont="1" applyProtection="1"/>
    <xf numFmtId="0" fontId="10" fillId="0" borderId="0" xfId="0" applyNumberFormat="1" applyFont="1" applyAlignment="1" applyProtection="1">
      <alignment horizontal="right"/>
    </xf>
    <xf numFmtId="0" fontId="12" fillId="0" borderId="0" xfId="0" applyNumberFormat="1" applyFont="1" applyProtection="1"/>
    <xf numFmtId="165" fontId="14" fillId="0" borderId="1" xfId="0" applyFont="1" applyBorder="1" applyAlignment="1" applyProtection="1">
      <alignment horizontal="right"/>
    </xf>
    <xf numFmtId="165" fontId="15" fillId="3" borderId="2" xfId="0" applyFont="1" applyFill="1" applyBorder="1" applyProtection="1">
      <protection locked="0"/>
    </xf>
    <xf numFmtId="165" fontId="16" fillId="3" borderId="3" xfId="0" applyFont="1" applyFill="1" applyBorder="1" applyProtection="1">
      <protection locked="0"/>
    </xf>
    <xf numFmtId="165" fontId="14" fillId="3" borderId="4" xfId="0" applyFont="1" applyFill="1" applyBorder="1" applyProtection="1"/>
    <xf numFmtId="165" fontId="17" fillId="0" borderId="0" xfId="0" applyFont="1" applyProtection="1"/>
    <xf numFmtId="167" fontId="17" fillId="0" borderId="0" xfId="0" applyNumberFormat="1" applyFont="1" applyProtection="1"/>
    <xf numFmtId="165" fontId="14" fillId="0" borderId="0" xfId="0" applyFont="1" applyProtection="1"/>
    <xf numFmtId="165" fontId="14" fillId="0" borderId="1" xfId="0" applyFont="1" applyBorder="1" applyAlignment="1" applyProtection="1">
      <alignment horizontal="center"/>
    </xf>
    <xf numFmtId="165" fontId="12" fillId="0" borderId="1" xfId="0" applyFont="1" applyBorder="1" applyAlignment="1" applyProtection="1">
      <alignment horizontal="right"/>
    </xf>
    <xf numFmtId="165" fontId="18" fillId="3" borderId="0" xfId="0" applyFont="1" applyFill="1" applyAlignment="1" applyProtection="1">
      <alignment horizontal="centerContinuous" vertical="center"/>
    </xf>
    <xf numFmtId="165" fontId="19" fillId="0" borderId="0" xfId="0" applyFont="1" applyProtection="1"/>
    <xf numFmtId="165" fontId="12" fillId="0" borderId="5" xfId="0" applyFont="1" applyBorder="1" applyAlignment="1" applyProtection="1">
      <alignment horizontal="center"/>
    </xf>
    <xf numFmtId="165" fontId="14" fillId="0" borderId="0" xfId="0" applyFont="1" applyAlignment="1" applyProtection="1">
      <alignment horizontal="center"/>
    </xf>
    <xf numFmtId="165" fontId="12" fillId="0" borderId="1" xfId="0" applyFont="1" applyBorder="1" applyAlignment="1" applyProtection="1">
      <alignment horizontal="center"/>
    </xf>
    <xf numFmtId="165" fontId="17" fillId="4" borderId="0" xfId="0" applyFont="1" applyFill="1" applyProtection="1"/>
    <xf numFmtId="165" fontId="15" fillId="3" borderId="6" xfId="0" applyFont="1" applyFill="1" applyBorder="1" applyProtection="1">
      <protection locked="0"/>
    </xf>
    <xf numFmtId="165" fontId="16" fillId="3" borderId="7" xfId="0" applyFont="1" applyFill="1" applyBorder="1" applyProtection="1">
      <protection locked="0"/>
    </xf>
    <xf numFmtId="165" fontId="14" fillId="3" borderId="8" xfId="0" applyFont="1" applyFill="1" applyBorder="1" applyProtection="1"/>
    <xf numFmtId="171" fontId="12" fillId="5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Alignment="1">
      <alignment horizontal="right"/>
    </xf>
    <xf numFmtId="165" fontId="11" fillId="0" borderId="0" xfId="0" applyFont="1" applyProtection="1"/>
    <xf numFmtId="165" fontId="20" fillId="0" borderId="0" xfId="0" applyFont="1" applyAlignment="1" applyProtection="1">
      <alignment horizontal="center"/>
    </xf>
    <xf numFmtId="165" fontId="21" fillId="0" borderId="0" xfId="0" applyFont="1" applyProtection="1"/>
    <xf numFmtId="165" fontId="22" fillId="0" borderId="0" xfId="0" applyFont="1" applyAlignment="1" applyProtection="1">
      <alignment horizontal="center"/>
    </xf>
    <xf numFmtId="165" fontId="11" fillId="0" borderId="9" xfId="0" applyFont="1" applyBorder="1" applyProtection="1"/>
    <xf numFmtId="165" fontId="11" fillId="0" borderId="10" xfId="0" applyFont="1" applyBorder="1" applyProtection="1"/>
    <xf numFmtId="165" fontId="11" fillId="0" borderId="11" xfId="0" applyFont="1" applyBorder="1" applyProtection="1"/>
    <xf numFmtId="173" fontId="23" fillId="0" borderId="12" xfId="0" applyNumberFormat="1" applyFont="1" applyBorder="1" applyProtection="1">
      <protection locked="0"/>
    </xf>
    <xf numFmtId="168" fontId="11" fillId="0" borderId="13" xfId="0" applyNumberFormat="1" applyFont="1" applyBorder="1" applyProtection="1"/>
    <xf numFmtId="165" fontId="11" fillId="0" borderId="14" xfId="0" applyFont="1" applyBorder="1" applyProtection="1"/>
    <xf numFmtId="165" fontId="11" fillId="0" borderId="15" xfId="0" applyFont="1" applyBorder="1" applyProtection="1"/>
    <xf numFmtId="165" fontId="11" fillId="0" borderId="16" xfId="0" applyFont="1" applyBorder="1" applyProtection="1"/>
    <xf numFmtId="173" fontId="23" fillId="0" borderId="2" xfId="0" applyNumberFormat="1" applyFont="1" applyBorder="1" applyProtection="1">
      <protection locked="0"/>
    </xf>
    <xf numFmtId="173" fontId="23" fillId="0" borderId="17" xfId="0" applyNumberFormat="1" applyFont="1" applyBorder="1" applyProtection="1">
      <protection locked="0"/>
    </xf>
    <xf numFmtId="168" fontId="11" fillId="0" borderId="18" xfId="0" applyNumberFormat="1" applyFont="1" applyBorder="1" applyProtection="1"/>
    <xf numFmtId="165" fontId="11" fillId="0" borderId="19" xfId="0" applyFont="1" applyBorder="1" applyProtection="1"/>
    <xf numFmtId="165" fontId="11" fillId="0" borderId="20" xfId="0" applyFont="1" applyBorder="1" applyProtection="1"/>
    <xf numFmtId="165" fontId="11" fillId="0" borderId="21" xfId="0" applyFont="1" applyBorder="1" applyProtection="1"/>
    <xf numFmtId="173" fontId="23" fillId="0" borderId="22" xfId="0" applyNumberFormat="1" applyFont="1" applyBorder="1" applyProtection="1">
      <protection locked="0"/>
    </xf>
    <xf numFmtId="173" fontId="23" fillId="0" borderId="23" xfId="0" applyNumberFormat="1" applyFont="1" applyBorder="1" applyProtection="1">
      <protection locked="0"/>
    </xf>
    <xf numFmtId="168" fontId="11" fillId="0" borderId="24" xfId="0" applyNumberFormat="1" applyFont="1" applyBorder="1" applyProtection="1"/>
    <xf numFmtId="167" fontId="11" fillId="0" borderId="0" xfId="0" applyNumberFormat="1" applyFont="1" applyProtection="1"/>
    <xf numFmtId="165" fontId="6" fillId="0" borderId="25" xfId="0" applyFont="1" applyBorder="1" applyProtection="1"/>
    <xf numFmtId="165" fontId="6" fillId="0" borderId="26" xfId="0" applyFont="1" applyBorder="1" applyAlignment="1" applyProtection="1">
      <alignment horizontal="center"/>
    </xf>
    <xf numFmtId="165" fontId="6" fillId="0" borderId="27" xfId="0" applyFont="1" applyBorder="1" applyProtection="1"/>
    <xf numFmtId="165" fontId="6" fillId="0" borderId="28" xfId="0" applyFont="1" applyBorder="1" applyAlignment="1" applyProtection="1">
      <alignment horizontal="center"/>
    </xf>
    <xf numFmtId="165" fontId="6" fillId="0" borderId="29" xfId="0" applyFont="1" applyBorder="1" applyAlignment="1" applyProtection="1">
      <alignment horizontal="center"/>
    </xf>
    <xf numFmtId="165" fontId="6" fillId="0" borderId="30" xfId="0" applyFont="1" applyBorder="1" applyProtection="1"/>
    <xf numFmtId="165" fontId="6" fillId="0" borderId="30" xfId="0" applyFont="1" applyBorder="1" applyAlignment="1" applyProtection="1">
      <alignment horizontal="left"/>
    </xf>
    <xf numFmtId="165" fontId="6" fillId="0" borderId="31" xfId="0" applyFont="1" applyBorder="1" applyProtection="1"/>
    <xf numFmtId="165" fontId="6" fillId="0" borderId="21" xfId="0" applyFont="1" applyBorder="1" applyAlignment="1" applyProtection="1">
      <alignment horizontal="center"/>
    </xf>
    <xf numFmtId="165" fontId="6" fillId="0" borderId="32" xfId="0" applyFont="1" applyBorder="1" applyProtection="1"/>
    <xf numFmtId="165" fontId="6" fillId="0" borderId="33" xfId="0" applyFont="1" applyBorder="1" applyProtection="1"/>
    <xf numFmtId="165" fontId="20" fillId="0" borderId="16" xfId="0" applyFont="1" applyBorder="1" applyAlignment="1" applyProtection="1">
      <alignment horizontal="center"/>
    </xf>
    <xf numFmtId="165" fontId="21" fillId="0" borderId="16" xfId="0" applyFont="1" applyBorder="1" applyAlignment="1" applyProtection="1">
      <alignment horizontal="center"/>
    </xf>
    <xf numFmtId="165" fontId="22" fillId="0" borderId="16" xfId="0" applyFont="1" applyBorder="1" applyAlignment="1" applyProtection="1">
      <alignment horizontal="center"/>
    </xf>
    <xf numFmtId="165" fontId="6" fillId="0" borderId="34" xfId="0" applyFont="1" applyBorder="1" applyProtection="1"/>
    <xf numFmtId="165" fontId="6" fillId="0" borderId="33" xfId="0" applyFont="1" applyBorder="1" applyAlignment="1" applyProtection="1">
      <alignment horizontal="center"/>
    </xf>
    <xf numFmtId="167" fontId="11" fillId="0" borderId="16" xfId="0" applyNumberFormat="1" applyFont="1" applyBorder="1" applyProtection="1"/>
    <xf numFmtId="167" fontId="6" fillId="0" borderId="16" xfId="0" applyNumberFormat="1" applyFont="1" applyBorder="1" applyProtection="1"/>
    <xf numFmtId="0" fontId="6" fillId="0" borderId="16" xfId="0" applyNumberFormat="1" applyFont="1" applyBorder="1" applyAlignment="1" applyProtection="1">
      <alignment horizontal="right"/>
    </xf>
    <xf numFmtId="172" fontId="23" fillId="0" borderId="1" xfId="0" applyNumberFormat="1" applyFont="1" applyBorder="1" applyProtection="1">
      <protection locked="0"/>
    </xf>
    <xf numFmtId="167" fontId="11" fillId="6" borderId="16" xfId="0" applyNumberFormat="1" applyFont="1" applyFill="1" applyBorder="1" applyProtection="1"/>
    <xf numFmtId="165" fontId="6" fillId="0" borderId="31" xfId="0" applyFont="1" applyBorder="1" applyAlignment="1" applyProtection="1">
      <alignment horizontal="center"/>
    </xf>
    <xf numFmtId="167" fontId="11" fillId="0" borderId="21" xfId="0" applyNumberFormat="1" applyFont="1" applyBorder="1" applyProtection="1">
      <protection locked="0"/>
    </xf>
    <xf numFmtId="167" fontId="6" fillId="0" borderId="35" xfId="0" applyNumberFormat="1" applyFont="1" applyBorder="1" applyProtection="1"/>
    <xf numFmtId="172" fontId="23" fillId="0" borderId="35" xfId="0" applyNumberFormat="1" applyFont="1" applyBorder="1"/>
    <xf numFmtId="167" fontId="11" fillId="0" borderId="21" xfId="0" applyNumberFormat="1" applyFont="1" applyBorder="1" applyProtection="1"/>
    <xf numFmtId="167" fontId="11" fillId="0" borderId="0" xfId="0" applyNumberFormat="1" applyFont="1" applyBorder="1" applyProtection="1"/>
    <xf numFmtId="165" fontId="6" fillId="0" borderId="0" xfId="0" applyFont="1" applyBorder="1" applyProtection="1"/>
    <xf numFmtId="167" fontId="6" fillId="0" borderId="0" xfId="0" applyNumberFormat="1" applyFont="1" applyProtection="1"/>
    <xf numFmtId="172" fontId="23" fillId="0" borderId="35" xfId="0" applyNumberFormat="1" applyFont="1" applyBorder="1" applyProtection="1"/>
    <xf numFmtId="165" fontId="2" fillId="0" borderId="0" xfId="0" applyFont="1" applyProtection="1"/>
    <xf numFmtId="165" fontId="23" fillId="7" borderId="0" xfId="0" applyFont="1" applyFill="1" applyAlignment="1" applyProtection="1">
      <alignment horizontal="left"/>
      <protection locked="0"/>
    </xf>
    <xf numFmtId="2" fontId="23" fillId="7" borderId="0" xfId="0" applyNumberFormat="1" applyFont="1" applyFill="1" applyAlignment="1" applyProtection="1">
      <alignment horizontal="left"/>
      <protection locked="0"/>
    </xf>
    <xf numFmtId="165" fontId="23" fillId="7" borderId="0" xfId="0" applyFont="1" applyFill="1" applyAlignment="1">
      <alignment horizontal="left"/>
    </xf>
    <xf numFmtId="0" fontId="0" fillId="0" borderId="0" xfId="0" applyNumberFormat="1"/>
    <xf numFmtId="0" fontId="11" fillId="0" borderId="16" xfId="0" applyNumberFormat="1" applyFont="1" applyBorder="1" applyProtection="1"/>
    <xf numFmtId="165" fontId="24" fillId="0" borderId="0" xfId="0" applyFont="1" applyAlignment="1">
      <alignment horizontal="right"/>
    </xf>
    <xf numFmtId="165" fontId="25" fillId="0" borderId="0" xfId="0" applyFont="1"/>
    <xf numFmtId="165" fontId="26" fillId="0" borderId="0" xfId="0" applyFont="1"/>
    <xf numFmtId="165" fontId="28" fillId="0" borderId="0" xfId="0" applyFont="1" applyFill="1" applyProtection="1"/>
    <xf numFmtId="165" fontId="28" fillId="0" borderId="0" xfId="0" applyFont="1" applyProtection="1"/>
    <xf numFmtId="165" fontId="28" fillId="0" borderId="2" xfId="0" applyFont="1" applyBorder="1" applyAlignment="1" applyProtection="1">
      <alignment horizontal="centerContinuous"/>
    </xf>
    <xf numFmtId="165" fontId="28" fillId="0" borderId="3" xfId="0" applyFont="1" applyBorder="1" applyAlignment="1" applyProtection="1">
      <alignment horizontal="centerContinuous"/>
    </xf>
    <xf numFmtId="165" fontId="28" fillId="0" borderId="36" xfId="0" applyFont="1" applyBorder="1" applyAlignment="1" applyProtection="1">
      <alignment horizontal="centerContinuous"/>
    </xf>
    <xf numFmtId="165" fontId="28" fillId="0" borderId="4" xfId="0" applyFont="1" applyBorder="1" applyAlignment="1" applyProtection="1">
      <alignment horizontal="centerContinuous"/>
    </xf>
    <xf numFmtId="165" fontId="28" fillId="0" borderId="0" xfId="0" applyFont="1" applyAlignment="1" applyProtection="1">
      <alignment horizontal="right"/>
    </xf>
    <xf numFmtId="165" fontId="26" fillId="0" borderId="0" xfId="0" applyFont="1" applyProtection="1"/>
    <xf numFmtId="165" fontId="28" fillId="0" borderId="1" xfId="0" applyFont="1" applyBorder="1" applyAlignment="1" applyProtection="1">
      <alignment horizontal="center"/>
    </xf>
    <xf numFmtId="165" fontId="28" fillId="0" borderId="2" xfId="0" applyFont="1" applyBorder="1" applyAlignment="1" applyProtection="1">
      <alignment horizontal="center"/>
    </xf>
    <xf numFmtId="165" fontId="28" fillId="0" borderId="37" xfId="0" applyFont="1" applyBorder="1" applyAlignment="1" applyProtection="1">
      <alignment horizontal="center"/>
    </xf>
    <xf numFmtId="165" fontId="27" fillId="0" borderId="1" xfId="0" applyFont="1" applyBorder="1" applyAlignment="1" applyProtection="1">
      <alignment horizontal="center"/>
    </xf>
    <xf numFmtId="165" fontId="27" fillId="0" borderId="37" xfId="0" applyFont="1" applyBorder="1" applyAlignment="1" applyProtection="1">
      <alignment horizontal="right"/>
    </xf>
    <xf numFmtId="165" fontId="28" fillId="0" borderId="37" xfId="0" applyFont="1" applyBorder="1" applyAlignment="1" applyProtection="1">
      <alignment horizontal="right"/>
    </xf>
    <xf numFmtId="165" fontId="28" fillId="0" borderId="0" xfId="0" applyFont="1" applyFill="1" applyBorder="1" applyAlignment="1" applyProtection="1">
      <alignment horizontal="center"/>
    </xf>
    <xf numFmtId="165" fontId="27" fillId="0" borderId="0" xfId="0" applyFont="1" applyBorder="1" applyAlignment="1" applyProtection="1">
      <alignment horizontal="right"/>
    </xf>
    <xf numFmtId="165" fontId="28" fillId="0" borderId="15" xfId="0" applyFont="1" applyBorder="1" applyAlignment="1" applyProtection="1">
      <alignment horizontal="center"/>
    </xf>
    <xf numFmtId="165" fontId="28" fillId="0" borderId="15" xfId="0" applyFont="1" applyBorder="1" applyProtection="1"/>
    <xf numFmtId="165" fontId="28" fillId="0" borderId="0" xfId="0" applyFont="1" applyBorder="1" applyProtection="1"/>
    <xf numFmtId="167" fontId="28" fillId="0" borderId="0" xfId="0" applyNumberFormat="1" applyFont="1" applyProtection="1"/>
    <xf numFmtId="0" fontId="3" fillId="0" borderId="1" xfId="0" applyNumberFormat="1" applyFont="1" applyBorder="1" applyAlignment="1" applyProtection="1">
      <alignment horizontal="center"/>
    </xf>
    <xf numFmtId="165" fontId="28" fillId="0" borderId="0" xfId="0" applyFont="1" applyBorder="1" applyAlignment="1" applyProtection="1">
      <alignment horizontal="centerContinuous"/>
    </xf>
    <xf numFmtId="2" fontId="28" fillId="0" borderId="0" xfId="0" applyNumberFormat="1" applyFont="1" applyBorder="1" applyAlignment="1" applyProtection="1">
      <alignment horizontal="centerContinuous"/>
    </xf>
    <xf numFmtId="175" fontId="23" fillId="7" borderId="0" xfId="0" applyNumberFormat="1" applyFont="1" applyFill="1" applyAlignment="1" applyProtection="1">
      <alignment horizontal="left"/>
      <protection locked="0"/>
    </xf>
    <xf numFmtId="165" fontId="12" fillId="0" borderId="2" xfId="0" applyFont="1" applyBorder="1" applyAlignment="1" applyProtection="1">
      <alignment horizontal="right"/>
    </xf>
    <xf numFmtId="165" fontId="2" fillId="0" borderId="0" xfId="0" applyFont="1"/>
    <xf numFmtId="165" fontId="38" fillId="0" borderId="0" xfId="0" applyFont="1" applyAlignment="1">
      <alignment horizontal="right"/>
    </xf>
    <xf numFmtId="1" fontId="39" fillId="8" borderId="0" xfId="0" applyNumberFormat="1" applyFont="1" applyFill="1" applyBorder="1" applyAlignment="1" applyProtection="1">
      <alignment horizontal="center"/>
      <protection locked="0"/>
    </xf>
    <xf numFmtId="172" fontId="39" fillId="8" borderId="0" xfId="0" applyNumberFormat="1" applyFont="1" applyFill="1" applyBorder="1" applyAlignment="1" applyProtection="1">
      <alignment horizontal="center"/>
      <protection locked="0"/>
    </xf>
    <xf numFmtId="165" fontId="30" fillId="0" borderId="0" xfId="0" applyFont="1" applyAlignment="1" applyProtection="1">
      <alignment horizontal="right"/>
    </xf>
    <xf numFmtId="165" fontId="41" fillId="0" borderId="0" xfId="0" applyFont="1" applyProtection="1"/>
    <xf numFmtId="165" fontId="41" fillId="0" borderId="0" xfId="0" applyFont="1"/>
    <xf numFmtId="165" fontId="30" fillId="0" borderId="0" xfId="0" applyFont="1" applyFill="1" applyProtection="1"/>
    <xf numFmtId="165" fontId="42" fillId="0" borderId="0" xfId="0" applyFont="1" applyProtection="1"/>
    <xf numFmtId="165" fontId="42" fillId="0" borderId="0" xfId="0" applyFont="1" applyAlignment="1" applyProtection="1">
      <alignment horizontal="right"/>
    </xf>
    <xf numFmtId="165" fontId="45" fillId="0" borderId="0" xfId="0" applyFont="1"/>
    <xf numFmtId="0" fontId="30" fillId="0" borderId="1" xfId="0" applyNumberFormat="1" applyFont="1" applyBorder="1" applyAlignment="1" applyProtection="1">
      <alignment horizontal="center"/>
    </xf>
    <xf numFmtId="165" fontId="42" fillId="0" borderId="38" xfId="0" applyFont="1" applyBorder="1" applyAlignment="1" applyProtection="1">
      <alignment horizontal="center"/>
    </xf>
    <xf numFmtId="165" fontId="41" fillId="0" borderId="1" xfId="0" applyFont="1" applyBorder="1" applyProtection="1"/>
    <xf numFmtId="0" fontId="30" fillId="0" borderId="39" xfId="0" applyNumberFormat="1" applyFont="1" applyBorder="1" applyAlignment="1" applyProtection="1">
      <alignment horizontal="center"/>
    </xf>
    <xf numFmtId="165" fontId="42" fillId="0" borderId="1" xfId="0" applyFont="1" applyBorder="1" applyAlignment="1" applyProtection="1">
      <alignment horizontal="center"/>
    </xf>
    <xf numFmtId="165" fontId="41" fillId="0" borderId="0" xfId="0" applyFont="1" applyBorder="1"/>
    <xf numFmtId="167" fontId="30" fillId="0" borderId="1" xfId="0" applyNumberFormat="1" applyFont="1" applyBorder="1" applyAlignment="1" applyProtection="1">
      <alignment horizontal="center"/>
    </xf>
    <xf numFmtId="165" fontId="42" fillId="0" borderId="39" xfId="0" applyFont="1" applyBorder="1" applyAlignment="1" applyProtection="1">
      <alignment horizontal="center"/>
    </xf>
    <xf numFmtId="165" fontId="42" fillId="0" borderId="0" xfId="0" applyFont="1" applyBorder="1" applyAlignment="1" applyProtection="1">
      <alignment horizontal="center"/>
    </xf>
    <xf numFmtId="165" fontId="41" fillId="0" borderId="0" xfId="0" applyFont="1" applyBorder="1" applyProtection="1"/>
    <xf numFmtId="165" fontId="42" fillId="3" borderId="0" xfId="0" applyFont="1" applyFill="1" applyBorder="1" applyProtection="1"/>
    <xf numFmtId="0" fontId="30" fillId="0" borderId="0" xfId="0" applyNumberFormat="1" applyFont="1" applyBorder="1" applyAlignment="1" applyProtection="1">
      <alignment horizontal="center"/>
    </xf>
    <xf numFmtId="165" fontId="30" fillId="0" borderId="0" xfId="0" applyFont="1" applyProtection="1"/>
    <xf numFmtId="0" fontId="42" fillId="3" borderId="2" xfId="0" applyNumberFormat="1" applyFont="1" applyFill="1" applyBorder="1" applyAlignment="1" applyProtection="1">
      <alignment horizontal="center"/>
    </xf>
    <xf numFmtId="165" fontId="30" fillId="0" borderId="40" xfId="0" applyFont="1" applyBorder="1" applyAlignment="1" applyProtection="1">
      <alignment horizontal="centerContinuous"/>
    </xf>
    <xf numFmtId="165" fontId="30" fillId="0" borderId="39" xfId="0" applyFont="1" applyBorder="1" applyAlignment="1" applyProtection="1">
      <alignment horizontal="center"/>
    </xf>
    <xf numFmtId="0" fontId="30" fillId="0" borderId="0" xfId="0" applyNumberFormat="1" applyFont="1" applyBorder="1" applyAlignment="1" applyProtection="1">
      <alignment horizontal="right"/>
    </xf>
    <xf numFmtId="165" fontId="30" fillId="0" borderId="0" xfId="0" applyFont="1" applyBorder="1" applyAlignment="1" applyProtection="1">
      <alignment horizontal="center"/>
    </xf>
    <xf numFmtId="167" fontId="30" fillId="0" borderId="0" xfId="0" applyNumberFormat="1" applyFont="1" applyProtection="1"/>
    <xf numFmtId="165" fontId="3" fillId="0" borderId="1" xfId="0" applyFont="1" applyBorder="1" applyAlignment="1" applyProtection="1">
      <alignment horizontal="center"/>
    </xf>
    <xf numFmtId="165" fontId="43" fillId="0" borderId="0" xfId="0" applyFont="1" applyAlignment="1" applyProtection="1">
      <alignment horizontal="right"/>
    </xf>
    <xf numFmtId="165" fontId="44" fillId="9" borderId="2" xfId="0" applyFont="1" applyFill="1" applyBorder="1" applyAlignment="1" applyProtection="1"/>
    <xf numFmtId="165" fontId="0" fillId="9" borderId="3" xfId="0" applyFill="1" applyBorder="1" applyAlignment="1"/>
    <xf numFmtId="165" fontId="0" fillId="9" borderId="4" xfId="0" applyFill="1" applyBorder="1" applyAlignment="1"/>
    <xf numFmtId="165" fontId="42" fillId="0" borderId="41" xfId="0" applyFont="1" applyBorder="1" applyAlignment="1" applyProtection="1">
      <alignment vertical="center"/>
    </xf>
    <xf numFmtId="165" fontId="42" fillId="0" borderId="42" xfId="0" applyFont="1" applyBorder="1" applyAlignment="1" applyProtection="1">
      <protection locked="0"/>
    </xf>
    <xf numFmtId="165" fontId="0" fillId="0" borderId="0" xfId="0" applyBorder="1"/>
    <xf numFmtId="165" fontId="31" fillId="0" borderId="0" xfId="0" applyFont="1" applyBorder="1" applyAlignment="1">
      <alignment horizontal="right"/>
    </xf>
    <xf numFmtId="172" fontId="12" fillId="0" borderId="43" xfId="0" applyNumberFormat="1" applyFont="1" applyBorder="1" applyAlignment="1">
      <alignment horizontal="center"/>
    </xf>
    <xf numFmtId="165" fontId="30" fillId="10" borderId="1" xfId="0" applyFont="1" applyFill="1" applyBorder="1" applyAlignment="1" applyProtection="1">
      <alignment horizontal="center"/>
    </xf>
    <xf numFmtId="0" fontId="40" fillId="0" borderId="1" xfId="0" applyNumberFormat="1" applyFont="1" applyBorder="1" applyAlignment="1" applyProtection="1">
      <alignment horizontal="center"/>
    </xf>
    <xf numFmtId="165" fontId="43" fillId="0" borderId="38" xfId="0" applyFont="1" applyBorder="1" applyAlignment="1" applyProtection="1">
      <alignment horizontal="center"/>
    </xf>
    <xf numFmtId="165" fontId="43" fillId="0" borderId="39" xfId="0" applyFont="1" applyBorder="1" applyAlignment="1" applyProtection="1">
      <alignment horizontal="center"/>
    </xf>
    <xf numFmtId="165" fontId="40" fillId="0" borderId="1" xfId="0" applyFont="1" applyBorder="1" applyAlignment="1" applyProtection="1">
      <alignment horizontal="centerContinuous"/>
    </xf>
    <xf numFmtId="165" fontId="40" fillId="0" borderId="39" xfId="0" applyFont="1" applyBorder="1" applyAlignment="1" applyProtection="1">
      <alignment horizontal="centerContinuous"/>
    </xf>
    <xf numFmtId="165" fontId="40" fillId="0" borderId="15" xfId="0" applyFont="1" applyFill="1" applyBorder="1" applyAlignment="1" applyProtection="1">
      <alignment horizontal="left"/>
    </xf>
    <xf numFmtId="165" fontId="40" fillId="0" borderId="15" xfId="0" applyFont="1" applyFill="1" applyBorder="1" applyProtection="1"/>
    <xf numFmtId="165" fontId="40" fillId="0" borderId="3" xfId="0" applyFont="1" applyFill="1" applyBorder="1" applyProtection="1"/>
    <xf numFmtId="165" fontId="40" fillId="0" borderId="15" xfId="0" applyFont="1" applyFill="1" applyBorder="1" applyAlignment="1" applyProtection="1">
      <alignment horizontal="center"/>
    </xf>
    <xf numFmtId="164" fontId="40" fillId="0" borderId="15" xfId="0" applyNumberFormat="1" applyFont="1" applyFill="1" applyBorder="1" applyAlignment="1" applyProtection="1">
      <alignment horizontal="center"/>
    </xf>
    <xf numFmtId="165" fontId="0" fillId="0" borderId="3" xfId="0" applyBorder="1" applyProtection="1"/>
    <xf numFmtId="172" fontId="42" fillId="0" borderId="1" xfId="0" applyNumberFormat="1" applyFont="1" applyBorder="1" applyAlignment="1" applyProtection="1">
      <alignment horizontal="right"/>
    </xf>
    <xf numFmtId="0" fontId="3" fillId="0" borderId="39" xfId="0" applyNumberFormat="1" applyFont="1" applyBorder="1" applyAlignment="1" applyProtection="1">
      <alignment horizontal="center"/>
    </xf>
    <xf numFmtId="165" fontId="2" fillId="0" borderId="0" xfId="0" applyFont="1" applyAlignment="1" applyProtection="1">
      <alignment horizontal="right"/>
    </xf>
    <xf numFmtId="165" fontId="49" fillId="10" borderId="0" xfId="0" applyFont="1" applyFill="1" applyBorder="1" applyAlignment="1" applyProtection="1">
      <alignment horizontal="center"/>
    </xf>
    <xf numFmtId="167" fontId="23" fillId="0" borderId="1" xfId="0" applyNumberFormat="1" applyFont="1" applyBorder="1" applyAlignment="1" applyProtection="1">
      <alignment horizontal="center"/>
      <protection locked="0"/>
    </xf>
    <xf numFmtId="165" fontId="0" fillId="0" borderId="0" xfId="0" applyBorder="1" applyAlignment="1">
      <alignment horizontal="left"/>
    </xf>
    <xf numFmtId="165" fontId="12" fillId="0" borderId="0" xfId="0" applyFont="1" applyAlignment="1" applyProtection="1">
      <alignment horizontal="center"/>
    </xf>
    <xf numFmtId="167" fontId="12" fillId="0" borderId="0" xfId="0" applyNumberFormat="1" applyFont="1" applyAlignment="1" applyProtection="1">
      <alignment horizontal="center"/>
    </xf>
    <xf numFmtId="167" fontId="12" fillId="0" borderId="5" xfId="0" applyNumberFormat="1" applyFont="1" applyBorder="1" applyAlignment="1" applyProtection="1">
      <alignment horizontal="center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167" fontId="12" fillId="0" borderId="1" xfId="0" applyNumberFormat="1" applyFont="1" applyBorder="1" applyAlignment="1" applyProtection="1">
      <alignment horizontal="center"/>
    </xf>
    <xf numFmtId="167" fontId="14" fillId="0" borderId="1" xfId="0" applyNumberFormat="1" applyFont="1" applyBorder="1" applyAlignment="1" applyProtection="1">
      <alignment horizontal="center"/>
    </xf>
    <xf numFmtId="0" fontId="14" fillId="0" borderId="1" xfId="0" applyNumberFormat="1" applyFont="1" applyBorder="1" applyAlignment="1" applyProtection="1">
      <alignment horizontal="center"/>
    </xf>
    <xf numFmtId="165" fontId="17" fillId="0" borderId="0" xfId="0" applyFont="1" applyAlignment="1" applyProtection="1">
      <alignment horizontal="center"/>
    </xf>
    <xf numFmtId="171" fontId="12" fillId="0" borderId="5" xfId="0" applyNumberFormat="1" applyFont="1" applyBorder="1" applyAlignment="1" applyProtection="1">
      <alignment horizontal="center"/>
    </xf>
    <xf numFmtId="171" fontId="7" fillId="3" borderId="5" xfId="0" applyNumberFormat="1" applyFont="1" applyFill="1" applyBorder="1" applyAlignment="1" applyProtection="1">
      <alignment horizontal="center"/>
      <protection locked="0"/>
    </xf>
    <xf numFmtId="171" fontId="7" fillId="3" borderId="1" xfId="0" applyNumberFormat="1" applyFont="1" applyFill="1" applyBorder="1" applyAlignment="1" applyProtection="1">
      <alignment horizontal="center"/>
      <protection locked="0"/>
    </xf>
    <xf numFmtId="171" fontId="7" fillId="3" borderId="8" xfId="0" applyNumberFormat="1" applyFont="1" applyFill="1" applyBorder="1" applyAlignment="1" applyProtection="1">
      <alignment horizontal="center"/>
      <protection locked="0"/>
    </xf>
    <xf numFmtId="171" fontId="7" fillId="3" borderId="16" xfId="0" applyNumberFormat="1" applyFont="1" applyFill="1" applyBorder="1" applyAlignment="1" applyProtection="1">
      <alignment horizontal="center"/>
      <protection locked="0"/>
    </xf>
    <xf numFmtId="171" fontId="12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Alignment="1" applyProtection="1">
      <alignment horizontal="center"/>
    </xf>
    <xf numFmtId="165" fontId="51" fillId="0" borderId="1" xfId="0" applyFont="1" applyBorder="1" applyAlignment="1" applyProtection="1">
      <alignment horizontal="center"/>
    </xf>
    <xf numFmtId="165" fontId="52" fillId="0" borderId="1" xfId="0" applyFont="1" applyBorder="1" applyAlignment="1" applyProtection="1">
      <alignment horizontal="center"/>
    </xf>
    <xf numFmtId="165" fontId="51" fillId="0" borderId="1" xfId="0" applyFont="1" applyBorder="1" applyProtection="1"/>
    <xf numFmtId="165" fontId="51" fillId="0" borderId="0" xfId="0" applyFont="1" applyProtection="1"/>
    <xf numFmtId="165" fontId="30" fillId="0" borderId="1" xfId="0" applyFont="1" applyBorder="1" applyAlignment="1" applyProtection="1">
      <alignment horizontal="center"/>
    </xf>
    <xf numFmtId="165" fontId="42" fillId="0" borderId="0" xfId="0" applyFont="1" applyAlignment="1" applyProtection="1">
      <alignment horizontal="center"/>
    </xf>
    <xf numFmtId="165" fontId="46" fillId="0" borderId="1" xfId="0" applyFont="1" applyBorder="1" applyAlignment="1">
      <alignment horizontal="center"/>
    </xf>
    <xf numFmtId="165" fontId="30" fillId="0" borderId="2" xfId="0" applyFont="1" applyBorder="1" applyAlignment="1" applyProtection="1">
      <alignment horizontal="center"/>
    </xf>
    <xf numFmtId="165" fontId="41" fillId="0" borderId="1" xfId="0" applyFont="1" applyBorder="1" applyAlignment="1" applyProtection="1">
      <alignment horizontal="center"/>
    </xf>
    <xf numFmtId="165" fontId="30" fillId="0" borderId="1" xfId="0" applyNumberFormat="1" applyFont="1" applyBorder="1" applyAlignment="1" applyProtection="1">
      <alignment horizontal="center"/>
    </xf>
    <xf numFmtId="165" fontId="41" fillId="10" borderId="1" xfId="0" applyFont="1" applyFill="1" applyBorder="1" applyAlignment="1" applyProtection="1">
      <alignment horizontal="center"/>
    </xf>
    <xf numFmtId="165" fontId="42" fillId="0" borderId="0" xfId="0" applyFont="1" applyAlignment="1">
      <alignment horizontal="right"/>
    </xf>
    <xf numFmtId="165" fontId="2" fillId="0" borderId="44" xfId="0" applyFont="1" applyBorder="1" applyAlignment="1">
      <alignment horizontal="center" wrapText="1"/>
    </xf>
    <xf numFmtId="165" fontId="14" fillId="0" borderId="5" xfId="0" applyFont="1" applyBorder="1" applyAlignment="1" applyProtection="1">
      <alignment horizontal="right"/>
    </xf>
    <xf numFmtId="165" fontId="12" fillId="0" borderId="45" xfId="0" applyFont="1" applyBorder="1" applyAlignment="1" applyProtection="1">
      <alignment horizontal="right"/>
    </xf>
    <xf numFmtId="165" fontId="12" fillId="0" borderId="46" xfId="0" applyFont="1" applyBorder="1" applyAlignment="1" applyProtection="1">
      <alignment horizontal="right"/>
    </xf>
    <xf numFmtId="165" fontId="14" fillId="0" borderId="47" xfId="0" applyFont="1" applyBorder="1" applyAlignment="1" applyProtection="1">
      <alignment horizontal="right"/>
    </xf>
    <xf numFmtId="165" fontId="0" fillId="0" borderId="0" xfId="0" applyAlignment="1" applyProtection="1">
      <alignment horizontal="center"/>
    </xf>
    <xf numFmtId="165" fontId="15" fillId="3" borderId="6" xfId="0" applyFont="1" applyFill="1" applyBorder="1" applyAlignment="1" applyProtection="1">
      <alignment horizontal="left"/>
      <protection locked="0"/>
    </xf>
    <xf numFmtId="165" fontId="15" fillId="3" borderId="2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>
      <alignment horizontal="center"/>
    </xf>
    <xf numFmtId="165" fontId="45" fillId="0" borderId="0" xfId="0" applyFont="1" applyAlignment="1"/>
    <xf numFmtId="49" fontId="45" fillId="0" borderId="0" xfId="0" applyNumberFormat="1" applyFont="1" applyAlignment="1"/>
    <xf numFmtId="165" fontId="24" fillId="0" borderId="0" xfId="0" applyFont="1"/>
    <xf numFmtId="165" fontId="53" fillId="0" borderId="0" xfId="0" applyFont="1" applyProtection="1"/>
    <xf numFmtId="165" fontId="53" fillId="0" borderId="0" xfId="0" applyFont="1" applyAlignment="1" applyProtection="1">
      <alignment horizontal="right" vertical="top"/>
    </xf>
    <xf numFmtId="165" fontId="54" fillId="0" borderId="0" xfId="0" applyFont="1" applyAlignment="1" applyProtection="1">
      <alignment horizontal="centerContinuous"/>
    </xf>
    <xf numFmtId="165" fontId="10" fillId="0" borderId="0" xfId="0" applyFont="1" applyAlignment="1" applyProtection="1">
      <alignment horizontal="centerContinuous"/>
    </xf>
    <xf numFmtId="165" fontId="54" fillId="0" borderId="0" xfId="0" applyFont="1" applyProtection="1"/>
    <xf numFmtId="165" fontId="54" fillId="0" borderId="0" xfId="0" applyFont="1" applyAlignment="1" applyProtection="1">
      <alignment horizontal="right"/>
    </xf>
    <xf numFmtId="165" fontId="10" fillId="0" borderId="15" xfId="0" applyFont="1" applyBorder="1" applyProtection="1"/>
    <xf numFmtId="165" fontId="54" fillId="0" borderId="15" xfId="0" applyFont="1" applyBorder="1" applyProtection="1"/>
    <xf numFmtId="165" fontId="8" fillId="0" borderId="15" xfId="0" applyFont="1" applyBorder="1" applyProtection="1"/>
    <xf numFmtId="165" fontId="54" fillId="0" borderId="20" xfId="0" applyFont="1" applyBorder="1" applyProtection="1"/>
    <xf numFmtId="165" fontId="55" fillId="0" borderId="0" xfId="0" applyFont="1" applyAlignment="1" applyProtection="1">
      <alignment horizontal="centerContinuous"/>
    </xf>
    <xf numFmtId="165" fontId="56" fillId="0" borderId="0" xfId="0" applyFont="1" applyAlignment="1" applyProtection="1">
      <alignment horizontal="right"/>
    </xf>
    <xf numFmtId="165" fontId="10" fillId="0" borderId="15" xfId="0" applyFont="1" applyBorder="1" applyAlignment="1" applyProtection="1">
      <alignment horizontal="left"/>
    </xf>
    <xf numFmtId="165" fontId="54" fillId="0" borderId="15" xfId="0" applyFont="1" applyBorder="1" applyAlignment="1" applyProtection="1">
      <alignment horizontal="center"/>
    </xf>
    <xf numFmtId="39" fontId="54" fillId="0" borderId="0" xfId="0" applyNumberFormat="1" applyFont="1" applyAlignment="1" applyProtection="1">
      <alignment horizontal="centerContinuous"/>
    </xf>
    <xf numFmtId="165" fontId="10" fillId="0" borderId="15" xfId="0" applyFont="1" applyBorder="1"/>
    <xf numFmtId="165" fontId="54" fillId="0" borderId="15" xfId="0" applyFont="1" applyBorder="1" applyAlignment="1">
      <alignment horizontal="centerContinuous"/>
    </xf>
    <xf numFmtId="165" fontId="8" fillId="0" borderId="0" xfId="0" applyFont="1"/>
    <xf numFmtId="39" fontId="54" fillId="0" borderId="0" xfId="0" applyNumberFormat="1" applyFont="1" applyProtection="1"/>
    <xf numFmtId="39" fontId="55" fillId="0" borderId="0" xfId="0" applyNumberFormat="1" applyFont="1" applyAlignment="1" applyProtection="1">
      <alignment horizontal="center"/>
    </xf>
    <xf numFmtId="39" fontId="55" fillId="0" borderId="0" xfId="0" applyNumberFormat="1" applyFont="1" applyProtection="1"/>
    <xf numFmtId="165" fontId="53" fillId="0" borderId="0" xfId="0" applyFont="1" applyAlignment="1" applyProtection="1">
      <alignment horizontal="right"/>
    </xf>
    <xf numFmtId="165" fontId="12" fillId="0" borderId="0" xfId="0" applyFont="1" applyAlignment="1" applyProtection="1">
      <alignment horizontal="centerContinuous"/>
    </xf>
    <xf numFmtId="165" fontId="57" fillId="0" borderId="0" xfId="0" applyFont="1" applyAlignment="1" applyProtection="1">
      <alignment horizontal="centerContinuous"/>
    </xf>
    <xf numFmtId="165" fontId="57" fillId="0" borderId="0" xfId="0" applyFont="1" applyProtection="1"/>
    <xf numFmtId="165" fontId="57" fillId="0" borderId="0" xfId="0" applyFont="1" applyAlignment="1" applyProtection="1">
      <alignment horizontal="left" vertical="top"/>
    </xf>
    <xf numFmtId="165" fontId="0" fillId="0" borderId="0" xfId="0" applyAlignment="1" applyProtection="1">
      <alignment horizontal="centerContinuous"/>
    </xf>
    <xf numFmtId="165" fontId="10" fillId="0" borderId="0" xfId="0" applyFont="1"/>
    <xf numFmtId="165" fontId="57" fillId="0" borderId="29" xfId="0" applyFont="1" applyBorder="1" applyProtection="1"/>
    <xf numFmtId="165" fontId="54" fillId="0" borderId="48" xfId="0" applyFont="1" applyBorder="1" applyAlignment="1" applyProtection="1">
      <alignment horizontal="center"/>
    </xf>
    <xf numFmtId="165" fontId="54" fillId="0" borderId="42" xfId="0" applyFont="1" applyBorder="1" applyProtection="1"/>
    <xf numFmtId="165" fontId="54" fillId="0" borderId="49" xfId="0" applyFont="1" applyBorder="1" applyProtection="1"/>
    <xf numFmtId="165" fontId="54" fillId="0" borderId="48" xfId="0" applyFont="1" applyBorder="1" applyAlignment="1" applyProtection="1">
      <alignment horizontal="centerContinuous"/>
    </xf>
    <xf numFmtId="165" fontId="54" fillId="0" borderId="42" xfId="0" applyFont="1" applyBorder="1" applyAlignment="1" applyProtection="1">
      <alignment horizontal="centerContinuous"/>
    </xf>
    <xf numFmtId="165" fontId="10" fillId="0" borderId="49" xfId="0" applyFont="1" applyBorder="1" applyAlignment="1" applyProtection="1">
      <alignment horizontal="centerContinuous"/>
    </xf>
    <xf numFmtId="165" fontId="54" fillId="0" borderId="49" xfId="0" applyFont="1" applyBorder="1" applyAlignment="1" applyProtection="1">
      <alignment horizontal="centerContinuous"/>
    </xf>
    <xf numFmtId="165" fontId="12" fillId="0" borderId="48" xfId="0" applyFont="1" applyBorder="1" applyProtection="1"/>
    <xf numFmtId="165" fontId="12" fillId="0" borderId="42" xfId="0" applyFont="1" applyBorder="1" applyProtection="1"/>
    <xf numFmtId="165" fontId="12" fillId="0" borderId="49" xfId="0" applyFont="1" applyBorder="1" applyProtection="1"/>
    <xf numFmtId="165" fontId="54" fillId="0" borderId="23" xfId="0" applyFont="1" applyBorder="1" applyAlignment="1" applyProtection="1">
      <alignment horizontal="centerContinuous"/>
    </xf>
    <xf numFmtId="165" fontId="54" fillId="0" borderId="20" xfId="0" applyFont="1" applyBorder="1" applyAlignment="1" applyProtection="1">
      <alignment horizontal="centerContinuous"/>
    </xf>
    <xf numFmtId="165" fontId="54" fillId="0" borderId="21" xfId="0" applyFont="1" applyBorder="1" applyAlignment="1" applyProtection="1">
      <alignment horizontal="centerContinuous"/>
    </xf>
    <xf numFmtId="165" fontId="10" fillId="0" borderId="21" xfId="0" applyFont="1" applyBorder="1" applyAlignment="1" applyProtection="1">
      <alignment horizontal="centerContinuous"/>
    </xf>
    <xf numFmtId="165" fontId="10" fillId="0" borderId="20" xfId="0" applyFont="1" applyBorder="1" applyAlignment="1" applyProtection="1">
      <alignment horizontal="centerContinuous"/>
    </xf>
    <xf numFmtId="165" fontId="12" fillId="0" borderId="20" xfId="0" applyFont="1" applyBorder="1" applyAlignment="1" applyProtection="1">
      <alignment horizontal="centerContinuous"/>
    </xf>
    <xf numFmtId="165" fontId="12" fillId="0" borderId="21" xfId="0" applyFont="1" applyBorder="1" applyAlignment="1" applyProtection="1">
      <alignment horizontal="centerContinuous"/>
    </xf>
    <xf numFmtId="165" fontId="54" fillId="0" borderId="16" xfId="0" applyFont="1" applyBorder="1" applyAlignment="1" applyProtection="1">
      <alignment horizontal="center"/>
    </xf>
    <xf numFmtId="165" fontId="54" fillId="0" borderId="39" xfId="0" applyFont="1" applyBorder="1" applyProtection="1"/>
    <xf numFmtId="165" fontId="10" fillId="0" borderId="39" xfId="0" applyFont="1" applyBorder="1" applyProtection="1"/>
    <xf numFmtId="165" fontId="12" fillId="0" borderId="39" xfId="0" applyFont="1" applyBorder="1" applyProtection="1"/>
    <xf numFmtId="165" fontId="54" fillId="0" borderId="0" xfId="0" applyFont="1" applyAlignment="1" applyProtection="1">
      <alignment horizontal="center"/>
    </xf>
    <xf numFmtId="165" fontId="10" fillId="0" borderId="0" xfId="0" applyFont="1" applyProtection="1"/>
    <xf numFmtId="165" fontId="57" fillId="0" borderId="0" xfId="0" applyFont="1" applyAlignment="1" applyProtection="1">
      <alignment horizontal="center" vertical="justify"/>
    </xf>
    <xf numFmtId="165" fontId="53" fillId="0" borderId="40" xfId="0" applyFont="1" applyBorder="1" applyAlignment="1" applyProtection="1">
      <alignment horizontal="center" vertical="justify" textRotation="180"/>
    </xf>
    <xf numFmtId="165" fontId="53" fillId="0" borderId="38" xfId="0" applyFont="1" applyBorder="1" applyAlignment="1" applyProtection="1">
      <alignment horizontal="center" vertical="justify" textRotation="180"/>
    </xf>
    <xf numFmtId="165" fontId="58" fillId="0" borderId="38" xfId="0" applyFont="1" applyBorder="1" applyAlignment="1" applyProtection="1">
      <alignment horizontal="center" vertical="justify" textRotation="180"/>
    </xf>
    <xf numFmtId="165" fontId="12" fillId="0" borderId="0" xfId="0" applyFont="1" applyAlignment="1" applyProtection="1">
      <alignment horizontal="center" vertical="justify"/>
    </xf>
    <xf numFmtId="165" fontId="0" fillId="0" borderId="0" xfId="0" applyAlignment="1">
      <alignment horizontal="center" vertical="justify"/>
    </xf>
    <xf numFmtId="165" fontId="58" fillId="0" borderId="40" xfId="0" applyFont="1" applyBorder="1" applyAlignment="1" applyProtection="1">
      <alignment horizontal="center" vertical="justify" textRotation="180"/>
    </xf>
    <xf numFmtId="165" fontId="58" fillId="0" borderId="29" xfId="0" applyFont="1" applyBorder="1" applyAlignment="1" applyProtection="1">
      <alignment horizontal="center" vertical="justify" textRotation="180"/>
    </xf>
    <xf numFmtId="165" fontId="54" fillId="0" borderId="0" xfId="0" applyFont="1" applyAlignment="1" applyProtection="1">
      <alignment horizontal="center" vertical="justify"/>
    </xf>
    <xf numFmtId="165" fontId="57" fillId="0" borderId="29" xfId="0" applyFont="1" applyBorder="1" applyAlignment="1" applyProtection="1">
      <alignment horizontal="center" vertical="justify"/>
    </xf>
    <xf numFmtId="165" fontId="56" fillId="0" borderId="0" xfId="0" applyFont="1" applyProtection="1"/>
    <xf numFmtId="165" fontId="8" fillId="0" borderId="15" xfId="0" applyFont="1" applyBorder="1"/>
    <xf numFmtId="165" fontId="0" fillId="0" borderId="15" xfId="0" applyBorder="1"/>
    <xf numFmtId="165" fontId="54" fillId="0" borderId="38" xfId="0" applyFont="1" applyBorder="1" applyAlignment="1" applyProtection="1">
      <alignment horizontal="center"/>
    </xf>
    <xf numFmtId="165" fontId="54" fillId="0" borderId="29" xfId="0" applyFont="1" applyBorder="1" applyAlignment="1" applyProtection="1">
      <alignment horizontal="center"/>
    </xf>
    <xf numFmtId="165" fontId="54" fillId="0" borderId="3" xfId="0" applyFont="1" applyBorder="1" applyAlignment="1" applyProtection="1">
      <alignment horizontal="centerContinuous"/>
    </xf>
    <xf numFmtId="165" fontId="54" fillId="0" borderId="4" xfId="0" applyFont="1" applyBorder="1" applyAlignment="1" applyProtection="1">
      <alignment horizontal="centerContinuous"/>
    </xf>
    <xf numFmtId="165" fontId="54" fillId="0" borderId="42" xfId="0" applyFont="1" applyBorder="1" applyAlignment="1" applyProtection="1">
      <alignment horizontal="center"/>
    </xf>
    <xf numFmtId="165" fontId="8" fillId="0" borderId="38" xfId="0" applyFont="1" applyBorder="1" applyAlignment="1" applyProtection="1">
      <alignment horizontal="center"/>
    </xf>
    <xf numFmtId="165" fontId="54" fillId="0" borderId="50" xfId="0" applyFont="1" applyBorder="1" applyAlignment="1" applyProtection="1">
      <alignment horizontal="center"/>
    </xf>
    <xf numFmtId="165" fontId="54" fillId="0" borderId="21" xfId="0" applyFont="1" applyBorder="1" applyAlignment="1" applyProtection="1">
      <alignment horizontal="center"/>
    </xf>
    <xf numFmtId="165" fontId="56" fillId="0" borderId="50" xfId="0" applyFont="1" applyBorder="1" applyAlignment="1" applyProtection="1">
      <alignment horizontal="center"/>
    </xf>
    <xf numFmtId="165" fontId="54" fillId="0" borderId="4" xfId="0" applyFont="1" applyBorder="1" applyAlignment="1" applyProtection="1">
      <alignment horizontal="center"/>
    </xf>
    <xf numFmtId="165" fontId="56" fillId="0" borderId="0" xfId="0" applyFont="1" applyAlignment="1" applyProtection="1">
      <alignment horizontal="center"/>
    </xf>
    <xf numFmtId="165" fontId="8" fillId="0" borderId="0" xfId="0" applyFont="1" applyAlignment="1" applyProtection="1">
      <alignment horizontal="center"/>
    </xf>
    <xf numFmtId="165" fontId="10" fillId="0" borderId="0" xfId="0" applyFont="1" applyAlignment="1" applyProtection="1">
      <alignment horizontal="center"/>
    </xf>
    <xf numFmtId="165" fontId="54" fillId="0" borderId="0" xfId="0" applyFont="1" applyAlignment="1">
      <alignment horizontal="right"/>
    </xf>
    <xf numFmtId="165" fontId="0" fillId="0" borderId="15" xfId="0" applyBorder="1" applyAlignment="1">
      <alignment horizontal="center"/>
    </xf>
    <xf numFmtId="165" fontId="54" fillId="0" borderId="51" xfId="0" applyFont="1" applyBorder="1" applyAlignment="1" applyProtection="1">
      <alignment horizontal="centerContinuous"/>
    </xf>
    <xf numFmtId="165" fontId="0" fillId="0" borderId="52" xfId="0" applyBorder="1" applyAlignment="1" applyProtection="1">
      <alignment horizontal="centerContinuous"/>
    </xf>
    <xf numFmtId="165" fontId="0" fillId="0" borderId="53" xfId="0" applyBorder="1" applyAlignment="1" applyProtection="1">
      <alignment horizontal="centerContinuous"/>
    </xf>
    <xf numFmtId="165" fontId="54" fillId="0" borderId="52" xfId="0" applyFont="1" applyBorder="1" applyAlignment="1" applyProtection="1">
      <alignment horizontal="centerContinuous"/>
    </xf>
    <xf numFmtId="165" fontId="54" fillId="0" borderId="38" xfId="0" applyFont="1" applyBorder="1" applyProtection="1"/>
    <xf numFmtId="165" fontId="54" fillId="0" borderId="38" xfId="0" applyFont="1" applyBorder="1" applyAlignment="1" applyProtection="1">
      <alignment horizontal="centerContinuous"/>
    </xf>
    <xf numFmtId="165" fontId="54" fillId="0" borderId="54" xfId="0" applyFont="1" applyBorder="1" applyAlignment="1" applyProtection="1">
      <alignment horizontal="right"/>
    </xf>
    <xf numFmtId="165" fontId="54" fillId="0" borderId="38" xfId="0" applyFont="1" applyBorder="1" applyAlignment="1" applyProtection="1">
      <alignment horizontal="right"/>
    </xf>
    <xf numFmtId="165" fontId="10" fillId="0" borderId="38" xfId="0" applyFont="1" applyBorder="1" applyProtection="1"/>
    <xf numFmtId="165" fontId="54" fillId="0" borderId="40" xfId="0" applyFont="1" applyBorder="1" applyAlignment="1" applyProtection="1">
      <alignment horizontal="center"/>
    </xf>
    <xf numFmtId="165" fontId="54" fillId="0" borderId="40" xfId="0" applyFont="1" applyBorder="1" applyAlignment="1" applyProtection="1">
      <alignment horizontal="centerContinuous"/>
    </xf>
    <xf numFmtId="165" fontId="54" fillId="0" borderId="41" xfId="0" applyFont="1" applyBorder="1" applyAlignment="1" applyProtection="1">
      <alignment horizontal="center"/>
    </xf>
    <xf numFmtId="165" fontId="10" fillId="0" borderId="40" xfId="0" applyFont="1" applyBorder="1" applyAlignment="1" applyProtection="1">
      <alignment horizontal="center"/>
    </xf>
    <xf numFmtId="165" fontId="54" fillId="0" borderId="39" xfId="0" applyFont="1" applyBorder="1" applyAlignment="1" applyProtection="1">
      <alignment horizontal="center"/>
    </xf>
    <xf numFmtId="165" fontId="54" fillId="0" borderId="17" xfId="0" applyFont="1" applyBorder="1" applyAlignment="1" applyProtection="1">
      <alignment horizontal="center"/>
    </xf>
    <xf numFmtId="165" fontId="54" fillId="0" borderId="39" xfId="0" applyFont="1" applyBorder="1" applyAlignment="1" applyProtection="1">
      <alignment horizontal="centerContinuous"/>
    </xf>
    <xf numFmtId="176" fontId="10" fillId="3" borderId="39" xfId="0" applyNumberFormat="1" applyFont="1" applyFill="1" applyBorder="1" applyAlignment="1" applyProtection="1">
      <alignment horizontal="center"/>
    </xf>
    <xf numFmtId="165" fontId="10" fillId="0" borderId="15" xfId="0" applyNumberFormat="1" applyFont="1" applyBorder="1" applyAlignment="1" applyProtection="1">
      <alignment horizontal="center"/>
    </xf>
    <xf numFmtId="164" fontId="0" fillId="0" borderId="0" xfId="0" applyNumberFormat="1" applyProtection="1"/>
    <xf numFmtId="165" fontId="53" fillId="0" borderId="0" xfId="0" applyFont="1"/>
    <xf numFmtId="165" fontId="53" fillId="0" borderId="0" xfId="0" applyFont="1" applyAlignment="1">
      <alignment horizontal="right"/>
    </xf>
    <xf numFmtId="165" fontId="10" fillId="0" borderId="15" xfId="0" applyFont="1" applyBorder="1" applyAlignment="1">
      <alignment horizontal="center"/>
    </xf>
    <xf numFmtId="165" fontId="54" fillId="0" borderId="55" xfId="0" applyFont="1" applyBorder="1" applyAlignment="1">
      <alignment horizontal="right"/>
    </xf>
    <xf numFmtId="164" fontId="10" fillId="0" borderId="7" xfId="0" applyNumberFormat="1" applyFont="1" applyBorder="1" applyAlignment="1" applyProtection="1">
      <alignment horizontal="left"/>
    </xf>
    <xf numFmtId="165" fontId="0" fillId="0" borderId="55" xfId="0" applyBorder="1"/>
    <xf numFmtId="174" fontId="10" fillId="0" borderId="7" xfId="0" applyNumberFormat="1" applyFont="1" applyBorder="1" applyAlignment="1" applyProtection="1">
      <alignment horizontal="center"/>
    </xf>
    <xf numFmtId="165" fontId="10" fillId="0" borderId="7" xfId="0" applyFont="1" applyBorder="1" applyAlignment="1">
      <alignment horizontal="center"/>
    </xf>
    <xf numFmtId="165" fontId="10" fillId="0" borderId="15" xfId="0" applyFont="1" applyBorder="1" applyAlignment="1">
      <alignment horizontal="left"/>
    </xf>
    <xf numFmtId="174" fontId="10" fillId="0" borderId="15" xfId="0" applyNumberFormat="1" applyFont="1" applyBorder="1" applyAlignment="1" applyProtection="1">
      <alignment horizontal="center"/>
    </xf>
    <xf numFmtId="165" fontId="54" fillId="0" borderId="0" xfId="0" applyFont="1" applyAlignment="1">
      <alignment horizontal="centerContinuous"/>
    </xf>
    <xf numFmtId="165" fontId="10" fillId="0" borderId="10" xfId="0" applyFont="1" applyBorder="1"/>
    <xf numFmtId="0" fontId="59" fillId="0" borderId="0" xfId="2" applyNumberFormat="1" applyFont="1" applyFill="1" applyAlignment="1">
      <alignment horizontal="left"/>
    </xf>
    <xf numFmtId="0" fontId="60" fillId="0" borderId="0" xfId="2" applyNumberFormat="1" applyFill="1" applyBorder="1"/>
    <xf numFmtId="0" fontId="60" fillId="0" borderId="0" xfId="2" applyNumberFormat="1" applyFill="1"/>
    <xf numFmtId="0" fontId="60" fillId="0" borderId="56" xfId="2" applyNumberFormat="1" applyFill="1" applyBorder="1"/>
    <xf numFmtId="0" fontId="60" fillId="11" borderId="56" xfId="2" applyNumberFormat="1" applyFill="1" applyBorder="1"/>
    <xf numFmtId="0" fontId="61" fillId="11" borderId="56" xfId="2" applyNumberFormat="1" applyFont="1" applyFill="1" applyBorder="1"/>
    <xf numFmtId="0" fontId="60" fillId="0" borderId="57" xfId="2" applyNumberFormat="1" applyFill="1" applyBorder="1"/>
    <xf numFmtId="0" fontId="64" fillId="0" borderId="25" xfId="2" applyNumberFormat="1" applyFont="1" applyFill="1" applyBorder="1"/>
    <xf numFmtId="0" fontId="65" fillId="0" borderId="26" xfId="2" applyNumberFormat="1" applyFont="1" applyFill="1" applyBorder="1" applyAlignment="1">
      <alignment horizontal="center"/>
    </xf>
    <xf numFmtId="0" fontId="65" fillId="0" borderId="58" xfId="2" applyNumberFormat="1" applyFont="1" applyFill="1" applyBorder="1" applyAlignment="1">
      <alignment horizontal="center"/>
    </xf>
    <xf numFmtId="0" fontId="64" fillId="0" borderId="28" xfId="2" applyNumberFormat="1" applyFont="1" applyFill="1" applyBorder="1" applyAlignment="1">
      <alignment horizontal="center"/>
    </xf>
    <xf numFmtId="0" fontId="65" fillId="0" borderId="29" xfId="2" applyNumberFormat="1" applyFont="1" applyFill="1" applyBorder="1" applyAlignment="1">
      <alignment horizontal="center"/>
    </xf>
    <xf numFmtId="0" fontId="65" fillId="0" borderId="59" xfId="2" applyNumberFormat="1" applyFont="1" applyFill="1" applyBorder="1" applyAlignment="1">
      <alignment horizontal="center"/>
    </xf>
    <xf numFmtId="0" fontId="64" fillId="0" borderId="31" xfId="2" applyNumberFormat="1" applyFont="1" applyFill="1" applyBorder="1"/>
    <xf numFmtId="0" fontId="65" fillId="0" borderId="21" xfId="2" applyNumberFormat="1" applyFont="1" applyFill="1" applyBorder="1" applyAlignment="1">
      <alignment horizontal="center"/>
    </xf>
    <xf numFmtId="0" fontId="65" fillId="0" borderId="24" xfId="2" applyNumberFormat="1" applyFont="1" applyFill="1" applyBorder="1" applyAlignment="1">
      <alignment horizontal="center"/>
    </xf>
    <xf numFmtId="0" fontId="64" fillId="0" borderId="33" xfId="2" applyNumberFormat="1" applyFont="1" applyFill="1" applyBorder="1" applyAlignment="1">
      <alignment horizontal="right"/>
    </xf>
    <xf numFmtId="172" fontId="66" fillId="10" borderId="16" xfId="2" applyNumberFormat="1" applyFont="1" applyFill="1" applyBorder="1" applyAlignment="1" applyProtection="1">
      <alignment horizontal="center"/>
    </xf>
    <xf numFmtId="0" fontId="67" fillId="12" borderId="0" xfId="0" applyNumberFormat="1" applyFont="1" applyFill="1" applyAlignment="1" applyProtection="1"/>
    <xf numFmtId="172" fontId="68" fillId="0" borderId="16" xfId="2" applyNumberFormat="1" applyFont="1" applyFill="1" applyBorder="1" applyAlignment="1" applyProtection="1">
      <alignment horizontal="center"/>
      <protection locked="0"/>
    </xf>
    <xf numFmtId="0" fontId="39" fillId="12" borderId="0" xfId="0" applyNumberFormat="1" applyFont="1" applyFill="1" applyAlignment="1" applyProtection="1"/>
    <xf numFmtId="172" fontId="68" fillId="13" borderId="18" xfId="2" applyNumberFormat="1" applyFont="1" applyFill="1" applyBorder="1" applyAlignment="1" applyProtection="1">
      <alignment horizontal="center"/>
      <protection locked="0"/>
    </xf>
    <xf numFmtId="0" fontId="64" fillId="0" borderId="31" xfId="2" applyNumberFormat="1" applyFont="1" applyFill="1" applyBorder="1" applyAlignment="1">
      <alignment horizontal="right"/>
    </xf>
    <xf numFmtId="172" fontId="66" fillId="10" borderId="21" xfId="2" applyNumberFormat="1" applyFont="1" applyFill="1" applyBorder="1" applyAlignment="1" applyProtection="1">
      <alignment horizontal="center"/>
    </xf>
    <xf numFmtId="172" fontId="68" fillId="13" borderId="21" xfId="2" applyNumberFormat="1" applyFont="1" applyFill="1" applyBorder="1" applyAlignment="1" applyProtection="1">
      <alignment horizontal="center"/>
      <protection locked="0"/>
    </xf>
    <xf numFmtId="172" fontId="68" fillId="13" borderId="24" xfId="2" applyNumberFormat="1" applyFont="1" applyFill="1" applyBorder="1" applyAlignment="1" applyProtection="1">
      <alignment horizontal="center"/>
      <protection locked="0"/>
    </xf>
    <xf numFmtId="0" fontId="69" fillId="0" borderId="0" xfId="2" applyNumberFormat="1" applyFont="1" applyFill="1"/>
    <xf numFmtId="172" fontId="65" fillId="0" borderId="0" xfId="2" applyNumberFormat="1" applyFont="1" applyFill="1" applyAlignment="1" applyProtection="1">
      <alignment horizontal="center"/>
    </xf>
    <xf numFmtId="172" fontId="65" fillId="0" borderId="0" xfId="2" applyNumberFormat="1" applyFont="1" applyFill="1" applyAlignment="1">
      <alignment horizontal="center"/>
    </xf>
    <xf numFmtId="0" fontId="69" fillId="0" borderId="60" xfId="2" applyNumberFormat="1" applyFont="1" applyFill="1" applyBorder="1" applyAlignment="1"/>
    <xf numFmtId="172" fontId="65" fillId="0" borderId="60" xfId="2" applyNumberFormat="1" applyFont="1" applyFill="1" applyBorder="1" applyAlignment="1" applyProtection="1">
      <alignment horizontal="center"/>
    </xf>
    <xf numFmtId="172" fontId="65" fillId="0" borderId="60" xfId="2" applyNumberFormat="1" applyFont="1" applyFill="1" applyBorder="1" applyAlignment="1">
      <alignment horizontal="center"/>
    </xf>
    <xf numFmtId="0" fontId="69" fillId="0" borderId="0" xfId="2" applyNumberFormat="1" applyFont="1" applyFill="1" applyAlignment="1">
      <alignment horizontal="right"/>
    </xf>
    <xf numFmtId="0" fontId="70" fillId="0" borderId="0" xfId="0" applyNumberFormat="1" applyFont="1" applyAlignment="1"/>
    <xf numFmtId="0" fontId="71" fillId="0" borderId="0" xfId="2" applyNumberFormat="1" applyFont="1" applyFill="1" applyAlignment="1">
      <alignment horizontal="right"/>
    </xf>
    <xf numFmtId="0" fontId="60" fillId="13" borderId="15" xfId="2" applyNumberFormat="1" applyFont="1" applyFill="1" applyBorder="1" applyProtection="1">
      <protection locked="0"/>
    </xf>
    <xf numFmtId="0" fontId="71" fillId="2" borderId="0" xfId="2" applyNumberFormat="1" applyFont="1" applyAlignment="1">
      <alignment horizontal="right"/>
    </xf>
    <xf numFmtId="0" fontId="60" fillId="2" borderId="15" xfId="2" applyNumberFormat="1" applyBorder="1" applyAlignment="1">
      <alignment horizontal="left"/>
    </xf>
    <xf numFmtId="0" fontId="73" fillId="2" borderId="0" xfId="2" applyNumberFormat="1" applyFont="1" applyAlignment="1">
      <alignment horizontal="centerContinuous"/>
    </xf>
    <xf numFmtId="0" fontId="60" fillId="2" borderId="0" xfId="2" applyNumberFormat="1"/>
    <xf numFmtId="0" fontId="60" fillId="2" borderId="0" xfId="2" applyNumberFormat="1" applyFill="1"/>
    <xf numFmtId="0" fontId="71" fillId="2" borderId="15" xfId="2" applyNumberFormat="1" applyFont="1" applyBorder="1" applyAlignment="1">
      <alignment horizontal="left"/>
    </xf>
    <xf numFmtId="14" fontId="71" fillId="2" borderId="15" xfId="2" applyNumberFormat="1" applyFont="1" applyBorder="1" applyAlignment="1">
      <alignment horizontal="left"/>
    </xf>
    <xf numFmtId="0" fontId="60" fillId="2" borderId="0" xfId="2" applyNumberFormat="1" applyAlignment="1">
      <alignment horizontal="left"/>
    </xf>
    <xf numFmtId="0" fontId="60" fillId="2" borderId="0" xfId="2" applyNumberFormat="1" applyFont="1" applyFill="1" applyAlignment="1">
      <alignment horizontal="right"/>
    </xf>
    <xf numFmtId="0" fontId="74" fillId="0" borderId="0" xfId="1" applyNumberFormat="1" applyFont="1" applyAlignment="1">
      <alignment horizontal="right"/>
    </xf>
    <xf numFmtId="0" fontId="60" fillId="2" borderId="56" xfId="2" applyNumberFormat="1" applyFill="1" applyBorder="1" applyAlignment="1">
      <alignment horizontal="left"/>
    </xf>
    <xf numFmtId="0" fontId="71" fillId="2" borderId="0" xfId="2" applyNumberFormat="1" applyFont="1" applyAlignment="1">
      <alignment horizontal="left"/>
    </xf>
    <xf numFmtId="14" fontId="60" fillId="2" borderId="0" xfId="2" applyNumberFormat="1"/>
    <xf numFmtId="0" fontId="60" fillId="2" borderId="56" xfId="2" applyNumberFormat="1" applyBorder="1" applyAlignment="1">
      <alignment horizontal="left"/>
    </xf>
    <xf numFmtId="0" fontId="60" fillId="2" borderId="0" xfId="2" applyNumberFormat="1" applyBorder="1" applyAlignment="1">
      <alignment horizontal="left"/>
    </xf>
    <xf numFmtId="0" fontId="60" fillId="0" borderId="15" xfId="2" applyNumberFormat="1" applyFill="1" applyBorder="1" applyAlignment="1">
      <alignment horizontal="left"/>
    </xf>
    <xf numFmtId="0" fontId="60" fillId="2" borderId="0" xfId="2" applyNumberFormat="1" applyFill="1" applyAlignment="1">
      <alignment horizontal="left"/>
    </xf>
    <xf numFmtId="0" fontId="60" fillId="2" borderId="56" xfId="2" applyNumberFormat="1" applyBorder="1"/>
    <xf numFmtId="168" fontId="60" fillId="2" borderId="0" xfId="2" applyNumberFormat="1" applyBorder="1" applyAlignment="1">
      <alignment horizontal="left"/>
    </xf>
    <xf numFmtId="0" fontId="71" fillId="2" borderId="0" xfId="2" applyNumberFormat="1" applyFont="1" applyAlignment="1"/>
    <xf numFmtId="168" fontId="60" fillId="2" borderId="0" xfId="2" applyNumberFormat="1" applyBorder="1"/>
    <xf numFmtId="168" fontId="60" fillId="2" borderId="0" xfId="2" applyNumberFormat="1" applyBorder="1" applyAlignment="1">
      <alignment horizontal="center"/>
    </xf>
    <xf numFmtId="168" fontId="60" fillId="2" borderId="0" xfId="2" applyNumberFormat="1" applyBorder="1" applyAlignment="1"/>
    <xf numFmtId="0" fontId="64" fillId="14" borderId="25" xfId="2" applyNumberFormat="1" applyFont="1" applyFill="1" applyBorder="1"/>
    <xf numFmtId="0" fontId="64" fillId="14" borderId="28" xfId="2" applyNumberFormat="1" applyFont="1" applyFill="1" applyBorder="1" applyAlignment="1">
      <alignment horizontal="center"/>
    </xf>
    <xf numFmtId="0" fontId="64" fillId="14" borderId="31" xfId="2" applyNumberFormat="1" applyFont="1" applyFill="1" applyBorder="1"/>
    <xf numFmtId="172" fontId="69" fillId="14" borderId="16" xfId="2" applyNumberFormat="1" applyFont="1" applyFill="1" applyBorder="1"/>
    <xf numFmtId="0" fontId="69" fillId="2" borderId="1" xfId="2" applyNumberFormat="1" applyFont="1" applyBorder="1" applyAlignment="1">
      <alignment horizontal="center"/>
    </xf>
    <xf numFmtId="0" fontId="69" fillId="2" borderId="61" xfId="2" applyNumberFormat="1" applyFont="1" applyBorder="1" applyAlignment="1">
      <alignment horizontal="center"/>
    </xf>
    <xf numFmtId="0" fontId="69" fillId="2" borderId="16" xfId="2" applyNumberFormat="1" applyFont="1" applyBorder="1" applyAlignment="1">
      <alignment horizontal="center"/>
    </xf>
    <xf numFmtId="0" fontId="69" fillId="2" borderId="34" xfId="2" applyNumberFormat="1" applyFont="1" applyBorder="1" applyAlignment="1">
      <alignment horizontal="center"/>
    </xf>
    <xf numFmtId="0" fontId="69" fillId="2" borderId="29" xfId="2" applyNumberFormat="1" applyFont="1" applyBorder="1" applyAlignment="1">
      <alignment horizontal="center"/>
    </xf>
    <xf numFmtId="172" fontId="69" fillId="14" borderId="15" xfId="2" applyNumberFormat="1" applyFont="1" applyFill="1" applyBorder="1"/>
    <xf numFmtId="0" fontId="69" fillId="2" borderId="44" xfId="2" applyNumberFormat="1" applyFont="1" applyBorder="1" applyAlignment="1">
      <alignment horizontal="center"/>
    </xf>
    <xf numFmtId="0" fontId="64" fillId="0" borderId="62" xfId="2" applyNumberFormat="1" applyFont="1" applyFill="1" applyBorder="1" applyAlignment="1">
      <alignment horizontal="right"/>
    </xf>
    <xf numFmtId="172" fontId="69" fillId="14" borderId="21" xfId="2" applyNumberFormat="1" applyFont="1" applyFill="1" applyBorder="1" applyAlignment="1">
      <alignment horizontal="right"/>
    </xf>
    <xf numFmtId="172" fontId="69" fillId="14" borderId="35" xfId="2" applyNumberFormat="1" applyFont="1" applyFill="1" applyBorder="1"/>
    <xf numFmtId="0" fontId="69" fillId="2" borderId="21" xfId="2" applyNumberFormat="1" applyFont="1" applyBorder="1" applyAlignment="1">
      <alignment horizontal="center"/>
    </xf>
    <xf numFmtId="0" fontId="69" fillId="2" borderId="32" xfId="2" applyNumberFormat="1" applyFont="1" applyBorder="1" applyAlignment="1">
      <alignment horizontal="center"/>
    </xf>
    <xf numFmtId="0" fontId="64" fillId="13" borderId="0" xfId="2" applyNumberFormat="1" applyFont="1" applyFill="1" applyBorder="1" applyAlignment="1">
      <alignment horizontal="right"/>
    </xf>
    <xf numFmtId="172" fontId="69" fillId="14" borderId="0" xfId="2" applyNumberFormat="1" applyFont="1" applyFill="1" applyBorder="1"/>
    <xf numFmtId="0" fontId="69" fillId="2" borderId="0" xfId="2" applyNumberFormat="1" applyFont="1" applyBorder="1" applyAlignment="1">
      <alignment horizontal="center"/>
    </xf>
    <xf numFmtId="0" fontId="64" fillId="0" borderId="0" xfId="2" applyNumberFormat="1" applyFont="1" applyFill="1" applyBorder="1" applyAlignment="1">
      <alignment horizontal="right"/>
    </xf>
    <xf numFmtId="172" fontId="69" fillId="14" borderId="29" xfId="2" applyNumberFormat="1" applyFont="1" applyFill="1" applyBorder="1"/>
    <xf numFmtId="172" fontId="69" fillId="14" borderId="63" xfId="2" applyNumberFormat="1" applyFont="1" applyFill="1" applyBorder="1"/>
    <xf numFmtId="0" fontId="69" fillId="2" borderId="35" xfId="2" applyNumberFormat="1" applyFont="1" applyBorder="1" applyAlignment="1">
      <alignment horizontal="center"/>
    </xf>
    <xf numFmtId="0" fontId="69" fillId="2" borderId="64" xfId="2" applyNumberFormat="1" applyFont="1" applyBorder="1" applyAlignment="1">
      <alignment horizontal="center"/>
    </xf>
    <xf numFmtId="0" fontId="60" fillId="13" borderId="0" xfId="2" applyNumberFormat="1" applyFill="1"/>
    <xf numFmtId="0" fontId="60" fillId="13" borderId="0" xfId="2" applyNumberFormat="1" applyFill="1" applyBorder="1"/>
    <xf numFmtId="0" fontId="60" fillId="13" borderId="0" xfId="2" applyNumberFormat="1" applyFont="1" applyFill="1" applyAlignment="1">
      <alignment horizontal="right"/>
    </xf>
    <xf numFmtId="0" fontId="60" fillId="13" borderId="56" xfId="2" applyNumberFormat="1" applyFont="1" applyFill="1" applyBorder="1"/>
    <xf numFmtId="0" fontId="60" fillId="13" borderId="15" xfId="2" applyNumberFormat="1" applyFill="1" applyBorder="1"/>
    <xf numFmtId="0" fontId="60" fillId="13" borderId="0" xfId="2" applyNumberFormat="1" applyFill="1" applyAlignment="1">
      <alignment horizontal="right"/>
    </xf>
    <xf numFmtId="0" fontId="69" fillId="13" borderId="56" xfId="2" applyNumberFormat="1" applyFont="1" applyFill="1" applyBorder="1" applyAlignment="1" applyProtection="1">
      <alignment horizontal="left"/>
      <protection locked="0"/>
    </xf>
    <xf numFmtId="0" fontId="60" fillId="13" borderId="15" xfId="2" applyNumberFormat="1" applyFill="1" applyBorder="1" applyProtection="1">
      <protection locked="0"/>
    </xf>
    <xf numFmtId="0" fontId="69" fillId="13" borderId="3" xfId="2" applyNumberFormat="1" applyFont="1" applyFill="1" applyBorder="1" applyProtection="1">
      <protection locked="0"/>
    </xf>
    <xf numFmtId="0" fontId="60" fillId="13" borderId="0" xfId="2" applyNumberFormat="1" applyFont="1" applyFill="1" applyBorder="1"/>
    <xf numFmtId="0" fontId="60" fillId="13" borderId="65" xfId="2" applyNumberFormat="1" applyFill="1" applyBorder="1" applyProtection="1">
      <protection locked="0"/>
    </xf>
    <xf numFmtId="0" fontId="60" fillId="13" borderId="0" xfId="2" applyNumberFormat="1" applyFill="1" applyBorder="1" applyAlignment="1">
      <alignment horizontal="right"/>
    </xf>
    <xf numFmtId="0" fontId="60" fillId="13" borderId="56" xfId="2" applyNumberFormat="1" applyFill="1" applyBorder="1" applyProtection="1">
      <protection locked="0"/>
    </xf>
    <xf numFmtId="0" fontId="60" fillId="13" borderId="0" xfId="2" applyNumberFormat="1" applyFont="1" applyFill="1" applyBorder="1" applyAlignment="1">
      <alignment horizontal="right"/>
    </xf>
    <xf numFmtId="0" fontId="60" fillId="13" borderId="56" xfId="2" applyNumberFormat="1" applyFill="1" applyBorder="1"/>
    <xf numFmtId="172" fontId="66" fillId="10" borderId="50" xfId="2" applyNumberFormat="1" applyFont="1" applyFill="1" applyBorder="1" applyAlignment="1" applyProtection="1">
      <alignment horizontal="center"/>
    </xf>
    <xf numFmtId="172" fontId="69" fillId="10" borderId="16" xfId="2" applyNumberFormat="1" applyFont="1" applyFill="1" applyBorder="1" applyAlignment="1">
      <alignment horizontal="right"/>
    </xf>
    <xf numFmtId="172" fontId="69" fillId="10" borderId="16" xfId="2" applyNumberFormat="1" applyFont="1" applyFill="1" applyBorder="1"/>
    <xf numFmtId="0" fontId="69" fillId="10" borderId="16" xfId="2" applyNumberFormat="1" applyFont="1" applyFill="1" applyBorder="1" applyAlignment="1">
      <alignment horizontal="center"/>
    </xf>
    <xf numFmtId="0" fontId="69" fillId="10" borderId="34" xfId="2" applyNumberFormat="1" applyFont="1" applyFill="1" applyBorder="1" applyAlignment="1">
      <alignment horizontal="center"/>
    </xf>
    <xf numFmtId="0" fontId="69" fillId="13" borderId="0" xfId="2" applyNumberFormat="1" applyFont="1" applyFill="1" applyAlignment="1">
      <alignment horizontal="left"/>
    </xf>
    <xf numFmtId="0" fontId="60" fillId="2" borderId="56" xfId="2" applyNumberFormat="1" applyBorder="1" applyProtection="1">
      <protection locked="0"/>
    </xf>
    <xf numFmtId="0" fontId="69" fillId="13" borderId="15" xfId="2" applyNumberFormat="1" applyFont="1" applyFill="1" applyBorder="1" applyProtection="1">
      <protection locked="0"/>
    </xf>
    <xf numFmtId="0" fontId="60" fillId="13" borderId="56" xfId="2" applyNumberFormat="1" applyFont="1" applyFill="1" applyBorder="1" applyProtection="1"/>
    <xf numFmtId="165" fontId="12" fillId="0" borderId="0" xfId="0" applyFont="1"/>
    <xf numFmtId="165" fontId="54" fillId="0" borderId="0" xfId="0" applyFont="1" applyAlignment="1">
      <alignment horizontal="centerContinuous" vertical="center"/>
    </xf>
    <xf numFmtId="165" fontId="10" fillId="0" borderId="0" xfId="0" applyFont="1" applyAlignment="1">
      <alignment horizontal="centerContinuous"/>
    </xf>
    <xf numFmtId="165" fontId="54" fillId="0" borderId="0" xfId="0" applyFont="1"/>
    <xf numFmtId="165" fontId="54" fillId="0" borderId="35" xfId="0" applyFont="1" applyBorder="1" applyAlignment="1">
      <alignment horizontal="center"/>
    </xf>
    <xf numFmtId="165" fontId="54" fillId="0" borderId="38" xfId="0" applyFont="1" applyBorder="1" applyAlignment="1">
      <alignment horizontal="center"/>
    </xf>
    <xf numFmtId="165" fontId="54" fillId="0" borderId="66" xfId="0" applyFont="1" applyBorder="1" applyAlignment="1">
      <alignment horizontal="center"/>
    </xf>
    <xf numFmtId="165" fontId="54" fillId="0" borderId="39" xfId="0" applyFont="1" applyBorder="1"/>
    <xf numFmtId="165" fontId="54" fillId="0" borderId="11" xfId="0" applyFont="1" applyBorder="1" applyAlignment="1">
      <alignment horizontal="center"/>
    </xf>
    <xf numFmtId="165" fontId="54" fillId="0" borderId="16" xfId="0" applyFont="1" applyBorder="1"/>
    <xf numFmtId="165" fontId="54" fillId="0" borderId="16" xfId="0" applyFont="1" applyBorder="1" applyAlignment="1">
      <alignment horizontal="center"/>
    </xf>
    <xf numFmtId="165" fontId="54" fillId="0" borderId="1" xfId="0" applyFont="1" applyBorder="1"/>
    <xf numFmtId="165" fontId="54" fillId="0" borderId="1" xfId="0" applyFont="1" applyBorder="1" applyAlignment="1">
      <alignment horizontal="center"/>
    </xf>
    <xf numFmtId="165" fontId="6" fillId="0" borderId="1" xfId="0" applyFont="1" applyBorder="1" applyAlignment="1" applyProtection="1">
      <alignment horizontal="center"/>
    </xf>
    <xf numFmtId="165" fontId="10" fillId="0" borderId="20" xfId="0" applyFont="1" applyBorder="1" applyProtection="1"/>
    <xf numFmtId="165" fontId="10" fillId="0" borderId="15" xfId="0" applyFont="1" applyBorder="1" applyProtection="1">
      <protection locked="0"/>
    </xf>
    <xf numFmtId="165" fontId="54" fillId="0" borderId="15" xfId="0" applyFont="1" applyBorder="1" applyProtection="1">
      <protection locked="0"/>
    </xf>
    <xf numFmtId="164" fontId="10" fillId="0" borderId="15" xfId="0" applyNumberFormat="1" applyFont="1" applyBorder="1" applyProtection="1">
      <protection locked="0"/>
    </xf>
    <xf numFmtId="165" fontId="54" fillId="0" borderId="15" xfId="0" applyFont="1" applyBorder="1" applyAlignment="1" applyProtection="1">
      <alignment horizontal="centerContinuous"/>
      <protection locked="0"/>
    </xf>
    <xf numFmtId="165" fontId="54" fillId="0" borderId="0" xfId="0" applyFont="1" applyProtection="1">
      <protection locked="0"/>
    </xf>
    <xf numFmtId="39" fontId="54" fillId="0" borderId="15" xfId="0" applyNumberFormat="1" applyFont="1" applyBorder="1" applyProtection="1">
      <protection locked="0"/>
    </xf>
    <xf numFmtId="165" fontId="54" fillId="0" borderId="0" xfId="0" applyFont="1" applyAlignment="1" applyProtection="1">
      <alignment horizontal="left"/>
    </xf>
    <xf numFmtId="164" fontId="10" fillId="0" borderId="1" xfId="0" applyNumberFormat="1" applyFont="1" applyBorder="1" applyAlignment="1" applyProtection="1">
      <alignment horizontal="center"/>
      <protection locked="0"/>
    </xf>
    <xf numFmtId="165" fontId="10" fillId="0" borderId="1" xfId="0" applyFont="1" applyBorder="1" applyAlignment="1" applyProtection="1">
      <alignment horizontal="center"/>
      <protection locked="0"/>
    </xf>
    <xf numFmtId="165" fontId="8" fillId="0" borderId="15" xfId="0" applyFont="1" applyBorder="1" applyProtection="1">
      <protection locked="0"/>
    </xf>
    <xf numFmtId="165" fontId="0" fillId="0" borderId="15" xfId="0" applyBorder="1" applyProtection="1">
      <protection locked="0"/>
    </xf>
    <xf numFmtId="164" fontId="10" fillId="0" borderId="39" xfId="0" applyNumberFormat="1" applyFont="1" applyBorder="1" applyAlignment="1" applyProtection="1">
      <alignment horizontal="center"/>
      <protection locked="0"/>
    </xf>
    <xf numFmtId="165" fontId="10" fillId="0" borderId="39" xfId="0" applyFont="1" applyBorder="1" applyAlignment="1" applyProtection="1">
      <alignment horizontal="center"/>
      <protection locked="0"/>
    </xf>
    <xf numFmtId="165" fontId="10" fillId="0" borderId="17" xfId="0" applyFont="1" applyBorder="1" applyProtection="1">
      <protection locked="0"/>
    </xf>
    <xf numFmtId="165" fontId="10" fillId="0" borderId="16" xfId="0" applyFont="1" applyBorder="1" applyProtection="1">
      <protection locked="0"/>
    </xf>
    <xf numFmtId="165" fontId="8" fillId="0" borderId="39" xfId="0" applyFont="1" applyBorder="1" applyAlignment="1" applyProtection="1">
      <alignment horizontal="center"/>
      <protection locked="0"/>
    </xf>
    <xf numFmtId="165" fontId="10" fillId="0" borderId="2" xfId="0" applyFont="1" applyBorder="1" applyProtection="1">
      <protection locked="0"/>
    </xf>
    <xf numFmtId="165" fontId="10" fillId="0" borderId="4" xfId="0" applyFont="1" applyBorder="1" applyProtection="1">
      <protection locked="0"/>
    </xf>
    <xf numFmtId="165" fontId="0" fillId="0" borderId="15" xfId="0" applyBorder="1" applyAlignment="1" applyProtection="1">
      <alignment horizontal="right"/>
      <protection locked="0"/>
    </xf>
    <xf numFmtId="165" fontId="0" fillId="0" borderId="15" xfId="0" applyBorder="1" applyAlignment="1" applyProtection="1">
      <alignment horizontal="center"/>
      <protection locked="0"/>
    </xf>
    <xf numFmtId="165" fontId="0" fillId="0" borderId="0" xfId="0" applyProtection="1">
      <protection locked="0"/>
    </xf>
    <xf numFmtId="164" fontId="24" fillId="0" borderId="1" xfId="0" applyNumberFormat="1" applyFont="1" applyBorder="1" applyProtection="1">
      <protection locked="0"/>
    </xf>
    <xf numFmtId="165" fontId="24" fillId="0" borderId="1" xfId="0" applyFont="1" applyBorder="1" applyAlignment="1" applyProtection="1">
      <alignment horizontal="center"/>
      <protection locked="0"/>
    </xf>
    <xf numFmtId="174" fontId="24" fillId="0" borderId="1" xfId="0" applyNumberFormat="1" applyFont="1" applyBorder="1" applyProtection="1">
      <protection locked="0"/>
    </xf>
    <xf numFmtId="167" fontId="24" fillId="0" borderId="1" xfId="0" applyNumberFormat="1" applyFont="1" applyBorder="1" applyProtection="1">
      <protection locked="0"/>
    </xf>
    <xf numFmtId="169" fontId="24" fillId="0" borderId="1" xfId="0" applyNumberFormat="1" applyFont="1" applyBorder="1" applyProtection="1">
      <protection locked="0"/>
    </xf>
    <xf numFmtId="170" fontId="24" fillId="0" borderId="1" xfId="0" applyNumberFormat="1" applyFont="1" applyBorder="1" applyProtection="1">
      <protection locked="0"/>
    </xf>
    <xf numFmtId="2" fontId="10" fillId="0" borderId="15" xfId="0" applyNumberFormat="1" applyFont="1" applyBorder="1" applyAlignment="1" applyProtection="1">
      <alignment horizontal="center"/>
      <protection locked="0"/>
    </xf>
    <xf numFmtId="2" fontId="10" fillId="0" borderId="39" xfId="0" applyNumberFormat="1" applyFont="1" applyBorder="1" applyAlignment="1" applyProtection="1">
      <alignment horizontal="center"/>
      <protection locked="0"/>
    </xf>
    <xf numFmtId="1" fontId="10" fillId="0" borderId="39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Border="1" applyAlignment="1" applyProtection="1">
      <alignment horizontal="center"/>
      <protection locked="0"/>
    </xf>
    <xf numFmtId="174" fontId="0" fillId="0" borderId="1" xfId="0" applyNumberFormat="1" applyBorder="1" applyProtection="1">
      <protection locked="0"/>
    </xf>
    <xf numFmtId="167" fontId="0" fillId="0" borderId="1" xfId="0" applyNumberFormat="1" applyBorder="1" applyProtection="1">
      <protection locked="0"/>
    </xf>
    <xf numFmtId="169" fontId="0" fillId="0" borderId="1" xfId="0" applyNumberFormat="1" applyBorder="1" applyProtection="1">
      <protection locked="0"/>
    </xf>
    <xf numFmtId="170" fontId="0" fillId="0" borderId="1" xfId="0" applyNumberFormat="1" applyBorder="1" applyProtection="1">
      <protection locked="0"/>
    </xf>
    <xf numFmtId="165" fontId="10" fillId="0" borderId="17" xfId="0" applyFont="1" applyBorder="1" applyAlignment="1" applyProtection="1">
      <alignment horizontal="center"/>
      <protection locked="0"/>
    </xf>
    <xf numFmtId="0" fontId="60" fillId="13" borderId="44" xfId="2" applyNumberFormat="1" applyFont="1" applyFill="1" applyBorder="1" applyProtection="1">
      <protection locked="0"/>
    </xf>
    <xf numFmtId="0" fontId="69" fillId="13" borderId="44" xfId="2" applyNumberFormat="1" applyFont="1" applyFill="1" applyBorder="1" applyAlignment="1" applyProtection="1">
      <alignment horizontal="left"/>
      <protection locked="0"/>
    </xf>
    <xf numFmtId="0" fontId="60" fillId="13" borderId="0" xfId="2" applyNumberFormat="1" applyFill="1" applyBorder="1" applyProtection="1">
      <protection locked="0"/>
    </xf>
    <xf numFmtId="0" fontId="60" fillId="13" borderId="0" xfId="2" applyNumberFormat="1" applyFont="1" applyFill="1" applyBorder="1" applyProtection="1">
      <protection locked="0"/>
    </xf>
    <xf numFmtId="14" fontId="60" fillId="2" borderId="56" xfId="2" applyNumberFormat="1" applyFill="1" applyBorder="1" applyAlignment="1" applyProtection="1">
      <alignment horizontal="left"/>
      <protection locked="0"/>
    </xf>
    <xf numFmtId="0" fontId="29" fillId="15" borderId="0" xfId="0" applyNumberFormat="1" applyFont="1" applyFill="1" applyAlignment="1" applyProtection="1">
      <alignment horizontal="left"/>
    </xf>
    <xf numFmtId="0" fontId="29" fillId="16" borderId="0" xfId="0" applyNumberFormat="1" applyFont="1" applyFill="1" applyAlignment="1" applyProtection="1">
      <alignment horizontal="left"/>
    </xf>
    <xf numFmtId="173" fontId="75" fillId="0" borderId="0" xfId="0" applyNumberFormat="1" applyFont="1"/>
    <xf numFmtId="165" fontId="75" fillId="0" borderId="0" xfId="0" applyFont="1"/>
    <xf numFmtId="173" fontId="33" fillId="0" borderId="67" xfId="0" applyNumberFormat="1" applyFont="1" applyBorder="1" applyAlignment="1" applyProtection="1">
      <alignment horizontal="center"/>
    </xf>
    <xf numFmtId="165" fontId="2" fillId="0" borderId="44" xfId="0" applyFont="1" applyBorder="1"/>
    <xf numFmtId="165" fontId="0" fillId="0" borderId="44" xfId="0" applyBorder="1"/>
    <xf numFmtId="165" fontId="0" fillId="9" borderId="44" xfId="0" applyFill="1" applyBorder="1" applyProtection="1">
      <protection locked="0"/>
    </xf>
    <xf numFmtId="165" fontId="42" fillId="0" borderId="1" xfId="0" applyFont="1" applyBorder="1" applyAlignment="1" applyProtection="1">
      <alignment horizontal="right"/>
    </xf>
    <xf numFmtId="165" fontId="41" fillId="0" borderId="3" xfId="0" applyFont="1" applyBorder="1" applyAlignment="1">
      <alignment horizontal="center"/>
    </xf>
    <xf numFmtId="165" fontId="41" fillId="0" borderId="3" xfId="0" applyFont="1" applyBorder="1" applyProtection="1"/>
    <xf numFmtId="165" fontId="42" fillId="0" borderId="1" xfId="0" applyFont="1" applyBorder="1" applyAlignment="1" applyProtection="1">
      <alignment horizontal="left"/>
    </xf>
    <xf numFmtId="165" fontId="42" fillId="0" borderId="3" xfId="0" applyFont="1" applyBorder="1" applyAlignment="1" applyProtection="1">
      <alignment horizontal="right"/>
    </xf>
    <xf numFmtId="165" fontId="30" fillId="0" borderId="2" xfId="0" applyFont="1" applyBorder="1" applyAlignment="1" applyProtection="1">
      <alignment horizontal="left"/>
    </xf>
    <xf numFmtId="14" fontId="41" fillId="0" borderId="1" xfId="0" applyNumberFormat="1" applyFont="1" applyBorder="1" applyAlignment="1" applyProtection="1">
      <alignment horizontal="center"/>
    </xf>
    <xf numFmtId="177" fontId="78" fillId="0" borderId="78" xfId="0" applyNumberFormat="1" applyFont="1" applyBorder="1" applyProtection="1">
      <protection locked="0"/>
    </xf>
    <xf numFmtId="165" fontId="0" fillId="0" borderId="0" xfId="0" applyAlignment="1" applyProtection="1">
      <alignment horizontal="right"/>
    </xf>
    <xf numFmtId="172" fontId="0" fillId="9" borderId="44" xfId="0" applyNumberFormat="1" applyFill="1" applyBorder="1" applyAlignment="1" applyProtection="1">
      <alignment horizontal="center"/>
      <protection locked="0"/>
    </xf>
    <xf numFmtId="172" fontId="0" fillId="0" borderId="0" xfId="0" applyNumberFormat="1" applyAlignment="1" applyProtection="1">
      <alignment horizontal="center"/>
    </xf>
    <xf numFmtId="165" fontId="76" fillId="0" borderId="0" xfId="0" applyFont="1"/>
    <xf numFmtId="165" fontId="77" fillId="0" borderId="0" xfId="0" applyFont="1"/>
    <xf numFmtId="172" fontId="10" fillId="0" borderId="39" xfId="0" applyNumberFormat="1" applyFont="1" applyBorder="1" applyAlignment="1" applyProtection="1">
      <alignment horizontal="center"/>
      <protection locked="0"/>
    </xf>
    <xf numFmtId="49" fontId="45" fillId="0" borderId="0" xfId="0" applyNumberFormat="1" applyFont="1"/>
    <xf numFmtId="49" fontId="45" fillId="0" borderId="0" xfId="3" applyNumberFormat="1" applyFont="1"/>
    <xf numFmtId="165" fontId="23" fillId="0" borderId="0" xfId="0" applyFont="1" applyFill="1" applyAlignment="1" applyProtection="1">
      <alignment horizontal="left"/>
      <protection locked="0"/>
    </xf>
    <xf numFmtId="165" fontId="2" fillId="0" borderId="0" xfId="0" applyFont="1" applyBorder="1"/>
    <xf numFmtId="165" fontId="2" fillId="0" borderId="0" xfId="0" applyFont="1" applyFill="1" applyBorder="1"/>
    <xf numFmtId="167" fontId="23" fillId="0" borderId="0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>
      <alignment horizontal="left"/>
    </xf>
    <xf numFmtId="49" fontId="0" fillId="0" borderId="15" xfId="0" applyNumberFormat="1" applyBorder="1" applyAlignment="1">
      <alignment horizontal="left"/>
    </xf>
    <xf numFmtId="165" fontId="0" fillId="0" borderId="15" xfId="0" applyBorder="1" applyAlignment="1">
      <alignment horizontal="right"/>
    </xf>
    <xf numFmtId="49" fontId="54" fillId="0" borderId="0" xfId="0" applyNumberFormat="1" applyFont="1" applyAlignment="1" applyProtection="1">
      <alignment horizontal="centerContinuous"/>
    </xf>
    <xf numFmtId="165" fontId="54" fillId="0" borderId="54" xfId="0" applyFont="1" applyBorder="1" applyAlignment="1" applyProtection="1">
      <alignment horizontal="center"/>
    </xf>
    <xf numFmtId="2" fontId="54" fillId="0" borderId="29" xfId="0" applyNumberFormat="1" applyFon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178" fontId="0" fillId="0" borderId="1" xfId="0" applyNumberFormat="1" applyBorder="1" applyProtection="1">
      <protection locked="0"/>
    </xf>
    <xf numFmtId="172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73" fontId="0" fillId="0" borderId="1" xfId="0" applyNumberFormat="1" applyBorder="1" applyProtection="1">
      <protection locked="0"/>
    </xf>
    <xf numFmtId="2" fontId="10" fillId="0" borderId="16" xfId="0" applyNumberFormat="1" applyFont="1" applyBorder="1" applyAlignment="1" applyProtection="1">
      <alignment horizontal="center"/>
      <protection locked="0"/>
    </xf>
    <xf numFmtId="171" fontId="10" fillId="0" borderId="39" xfId="0" applyNumberFormat="1" applyFont="1" applyBorder="1" applyAlignment="1" applyProtection="1">
      <alignment horizontal="center"/>
      <protection locked="0"/>
    </xf>
    <xf numFmtId="0" fontId="29" fillId="18" borderId="0" xfId="0" applyNumberFormat="1" applyFont="1" applyFill="1" applyAlignment="1">
      <alignment horizontal="left"/>
    </xf>
    <xf numFmtId="165" fontId="48" fillId="0" borderId="43" xfId="0" applyFont="1" applyBorder="1" applyAlignment="1"/>
    <xf numFmtId="165" fontId="0" fillId="0" borderId="68" xfId="0" applyBorder="1" applyAlignment="1"/>
    <xf numFmtId="165" fontId="0" fillId="0" borderId="69" xfId="0" applyBorder="1" applyAlignment="1"/>
    <xf numFmtId="165" fontId="34" fillId="0" borderId="0" xfId="0" applyFont="1" applyAlignment="1">
      <alignment horizontal="center"/>
    </xf>
    <xf numFmtId="165" fontId="35" fillId="0" borderId="0" xfId="0" applyFont="1" applyAlignment="1">
      <alignment horizontal="center"/>
    </xf>
    <xf numFmtId="165" fontId="36" fillId="0" borderId="0" xfId="0" applyFont="1" applyAlignment="1">
      <alignment horizontal="center"/>
    </xf>
    <xf numFmtId="165" fontId="37" fillId="0" borderId="0" xfId="0" applyFont="1" applyAlignment="1">
      <alignment horizontal="center"/>
    </xf>
    <xf numFmtId="165" fontId="31" fillId="0" borderId="70" xfId="0" applyFont="1" applyBorder="1" applyAlignment="1">
      <alignment horizontal="right" wrapText="1"/>
    </xf>
    <xf numFmtId="165" fontId="0" fillId="0" borderId="71" xfId="0" applyBorder="1" applyAlignment="1"/>
    <xf numFmtId="165" fontId="0" fillId="0" borderId="72" xfId="0" applyBorder="1" applyAlignment="1"/>
    <xf numFmtId="165" fontId="0" fillId="0" borderId="73" xfId="0" applyBorder="1" applyAlignment="1"/>
    <xf numFmtId="165" fontId="48" fillId="0" borderId="43" xfId="0" applyFont="1" applyBorder="1" applyAlignment="1">
      <alignment horizontal="center"/>
    </xf>
    <xf numFmtId="165" fontId="12" fillId="0" borderId="48" xfId="0" applyFont="1" applyBorder="1" applyAlignment="1" applyProtection="1">
      <alignment horizontal="right"/>
    </xf>
    <xf numFmtId="165" fontId="12" fillId="0" borderId="42" xfId="0" applyFont="1" applyBorder="1" applyAlignment="1" applyProtection="1">
      <alignment horizontal="right"/>
    </xf>
    <xf numFmtId="165" fontId="18" fillId="3" borderId="0" xfId="0" applyFont="1" applyFill="1" applyAlignment="1" applyProtection="1">
      <alignment horizontal="left" vertical="center"/>
    </xf>
    <xf numFmtId="165" fontId="0" fillId="0" borderId="0" xfId="0" applyAlignment="1">
      <alignment horizontal="left"/>
    </xf>
    <xf numFmtId="165" fontId="0" fillId="0" borderId="42" xfId="0" applyBorder="1" applyAlignment="1">
      <alignment horizontal="right"/>
    </xf>
    <xf numFmtId="165" fontId="18" fillId="3" borderId="0" xfId="0" applyFont="1" applyFill="1" applyAlignment="1" applyProtection="1">
      <alignment horizontal="center" vertical="center"/>
    </xf>
    <xf numFmtId="165" fontId="0" fillId="0" borderId="0" xfId="0" applyAlignment="1"/>
    <xf numFmtId="165" fontId="43" fillId="17" borderId="38" xfId="0" applyFont="1" applyFill="1" applyBorder="1" applyAlignment="1">
      <alignment horizontal="center" wrapText="1"/>
    </xf>
    <xf numFmtId="165" fontId="2" fillId="17" borderId="40" xfId="0" applyFont="1" applyFill="1" applyBorder="1" applyAlignment="1">
      <alignment horizontal="center"/>
    </xf>
    <xf numFmtId="165" fontId="2" fillId="17" borderId="39" xfId="0" applyFont="1" applyFill="1" applyBorder="1" applyAlignment="1">
      <alignment horizontal="center"/>
    </xf>
    <xf numFmtId="165" fontId="30" fillId="3" borderId="2" xfId="0" applyFont="1" applyFill="1" applyBorder="1" applyAlignment="1" applyProtection="1">
      <protection locked="0"/>
    </xf>
    <xf numFmtId="165" fontId="41" fillId="0" borderId="3" xfId="0" applyFont="1" applyBorder="1" applyAlignment="1" applyProtection="1">
      <protection locked="0"/>
    </xf>
    <xf numFmtId="165" fontId="0" fillId="0" borderId="3" xfId="0" applyBorder="1" applyAlignment="1" applyProtection="1">
      <protection locked="0"/>
    </xf>
    <xf numFmtId="165" fontId="0" fillId="0" borderId="4" xfId="0" applyBorder="1" applyAlignment="1" applyProtection="1">
      <protection locked="0"/>
    </xf>
    <xf numFmtId="165" fontId="42" fillId="0" borderId="2" xfId="0" applyFont="1" applyBorder="1" applyAlignment="1" applyProtection="1">
      <protection locked="0"/>
    </xf>
    <xf numFmtId="165" fontId="2" fillId="17" borderId="40" xfId="0" applyFont="1" applyFill="1" applyBorder="1" applyAlignment="1">
      <alignment horizontal="center" wrapText="1"/>
    </xf>
    <xf numFmtId="165" fontId="2" fillId="17" borderId="39" xfId="0" applyFont="1" applyFill="1" applyBorder="1" applyAlignment="1">
      <alignment horizontal="center" wrapText="1"/>
    </xf>
    <xf numFmtId="0" fontId="30" fillId="0" borderId="0" xfId="0" applyNumberFormat="1" applyFont="1" applyBorder="1" applyAlignment="1" applyProtection="1">
      <alignment horizontal="right"/>
    </xf>
    <xf numFmtId="165" fontId="0" fillId="0" borderId="0" xfId="0" applyBorder="1" applyAlignment="1">
      <alignment horizontal="right"/>
    </xf>
    <xf numFmtId="165" fontId="0" fillId="0" borderId="29" xfId="0" applyBorder="1" applyAlignment="1">
      <alignment horizontal="right"/>
    </xf>
    <xf numFmtId="165" fontId="28" fillId="0" borderId="0" xfId="0" applyFont="1" applyAlignment="1" applyProtection="1">
      <alignment horizontal="right"/>
    </xf>
    <xf numFmtId="165" fontId="40" fillId="16" borderId="2" xfId="0" applyFont="1" applyFill="1" applyBorder="1" applyAlignment="1" applyProtection="1"/>
    <xf numFmtId="165" fontId="0" fillId="0" borderId="3" xfId="0" applyBorder="1"/>
    <xf numFmtId="165" fontId="0" fillId="0" borderId="4" xfId="0" applyBorder="1"/>
    <xf numFmtId="0" fontId="40" fillId="0" borderId="0" xfId="0" applyNumberFormat="1" applyFont="1" applyAlignment="1" applyProtection="1">
      <alignment horizontal="center" vertical="center"/>
    </xf>
    <xf numFmtId="165" fontId="40" fillId="15" borderId="2" xfId="0" applyFont="1" applyFill="1" applyBorder="1" applyAlignment="1" applyProtection="1"/>
    <xf numFmtId="165" fontId="0" fillId="0" borderId="3" xfId="0" applyBorder="1" applyAlignment="1"/>
    <xf numFmtId="165" fontId="0" fillId="0" borderId="4" xfId="0" applyBorder="1" applyAlignment="1"/>
    <xf numFmtId="165" fontId="43" fillId="7" borderId="2" xfId="0" applyFont="1" applyFill="1" applyBorder="1" applyAlignment="1" applyProtection="1"/>
    <xf numFmtId="165" fontId="43" fillId="0" borderId="15" xfId="0" applyFont="1" applyBorder="1" applyAlignment="1">
      <alignment horizontal="left"/>
    </xf>
    <xf numFmtId="165" fontId="0" fillId="0" borderId="15" xfId="0" applyBorder="1" applyAlignment="1">
      <alignment horizontal="left"/>
    </xf>
    <xf numFmtId="165" fontId="46" fillId="0" borderId="2" xfId="0" applyFont="1" applyBorder="1" applyAlignment="1">
      <alignment horizontal="center"/>
    </xf>
    <xf numFmtId="165" fontId="0" fillId="0" borderId="4" xfId="0" applyBorder="1" applyAlignment="1" applyProtection="1">
      <alignment horizontal="center"/>
    </xf>
    <xf numFmtId="165" fontId="42" fillId="3" borderId="2" xfId="0" applyFont="1" applyFill="1" applyBorder="1" applyAlignment="1" applyProtection="1">
      <alignment horizontal="center"/>
    </xf>
    <xf numFmtId="165" fontId="42" fillId="3" borderId="2" xfId="0" applyFont="1" applyFill="1" applyBorder="1" applyAlignment="1" applyProtection="1"/>
    <xf numFmtId="0" fontId="60" fillId="13" borderId="68" xfId="2" applyNumberFormat="1" applyFont="1" applyFill="1" applyBorder="1" applyAlignment="1" applyProtection="1">
      <protection locked="0"/>
    </xf>
    <xf numFmtId="0" fontId="70" fillId="0" borderId="68" xfId="0" applyNumberFormat="1" applyFont="1" applyBorder="1" applyAlignment="1" applyProtection="1">
      <protection locked="0"/>
    </xf>
    <xf numFmtId="0" fontId="62" fillId="0" borderId="74" xfId="2" applyNumberFormat="1" applyFont="1" applyFill="1" applyBorder="1" applyAlignment="1">
      <alignment horizontal="center"/>
    </xf>
    <xf numFmtId="0" fontId="62" fillId="0" borderId="75" xfId="2" applyNumberFormat="1" applyFont="1" applyFill="1" applyBorder="1" applyAlignment="1">
      <alignment horizontal="center"/>
    </xf>
    <xf numFmtId="0" fontId="62" fillId="0" borderId="76" xfId="2" applyNumberFormat="1" applyFont="1" applyFill="1" applyBorder="1" applyAlignment="1">
      <alignment horizontal="center"/>
    </xf>
    <xf numFmtId="0" fontId="63" fillId="0" borderId="75" xfId="2" applyNumberFormat="1" applyFont="1" applyFill="1" applyBorder="1" applyAlignment="1">
      <alignment horizontal="center"/>
    </xf>
    <xf numFmtId="0" fontId="63" fillId="0" borderId="76" xfId="2" applyNumberFormat="1" applyFont="1" applyFill="1" applyBorder="1" applyAlignment="1">
      <alignment horizontal="center"/>
    </xf>
    <xf numFmtId="0" fontId="60" fillId="13" borderId="56" xfId="2" applyNumberFormat="1" applyFont="1" applyFill="1" applyBorder="1" applyAlignment="1" applyProtection="1">
      <protection locked="0"/>
    </xf>
    <xf numFmtId="0" fontId="70" fillId="0" borderId="56" xfId="0" applyNumberFormat="1" applyFont="1" applyBorder="1" applyAlignment="1" applyProtection="1">
      <protection locked="0"/>
    </xf>
    <xf numFmtId="0" fontId="64" fillId="14" borderId="58" xfId="2" applyNumberFormat="1" applyFont="1" applyFill="1" applyBorder="1" applyAlignment="1">
      <alignment horizontal="center"/>
    </xf>
    <xf numFmtId="0" fontId="60" fillId="2" borderId="59" xfId="2" applyNumberFormat="1" applyFill="1" applyBorder="1" applyAlignment="1">
      <alignment horizontal="center"/>
    </xf>
    <xf numFmtId="0" fontId="60" fillId="2" borderId="24" xfId="2" applyNumberFormat="1" applyFill="1" applyBorder="1" applyAlignment="1">
      <alignment horizontal="center"/>
    </xf>
    <xf numFmtId="0" fontId="64" fillId="14" borderId="77" xfId="2" applyNumberFormat="1" applyFont="1" applyFill="1" applyBorder="1" applyAlignment="1">
      <alignment horizontal="center" vertical="center" wrapText="1"/>
    </xf>
    <xf numFmtId="0" fontId="64" fillId="14" borderId="40" xfId="2" applyNumberFormat="1" applyFont="1" applyFill="1" applyBorder="1" applyAlignment="1">
      <alignment horizontal="center" vertical="center" wrapText="1"/>
    </xf>
    <xf numFmtId="0" fontId="64" fillId="14" borderId="50" xfId="2" applyNumberFormat="1" applyFont="1" applyFill="1" applyBorder="1" applyAlignment="1">
      <alignment horizontal="center" vertical="center" wrapText="1"/>
    </xf>
    <xf numFmtId="0" fontId="64" fillId="14" borderId="77" xfId="2" applyNumberFormat="1" applyFont="1" applyFill="1" applyBorder="1" applyAlignment="1">
      <alignment horizontal="center" wrapText="1"/>
    </xf>
    <xf numFmtId="0" fontId="64" fillId="14" borderId="40" xfId="2" applyNumberFormat="1" applyFont="1" applyFill="1" applyBorder="1" applyAlignment="1">
      <alignment horizontal="center" wrapText="1"/>
    </xf>
    <xf numFmtId="0" fontId="64" fillId="14" borderId="50" xfId="2" applyNumberFormat="1" applyFont="1" applyFill="1" applyBorder="1" applyAlignment="1">
      <alignment horizontal="center" wrapText="1"/>
    </xf>
    <xf numFmtId="0" fontId="60" fillId="2" borderId="40" xfId="2" applyNumberFormat="1" applyFill="1" applyBorder="1" applyAlignment="1">
      <alignment horizontal="center" wrapText="1"/>
    </xf>
    <xf numFmtId="0" fontId="60" fillId="2" borderId="50" xfId="2" applyNumberFormat="1" applyFill="1" applyBorder="1" applyAlignment="1">
      <alignment horizontal="center" wrapText="1"/>
    </xf>
    <xf numFmtId="0" fontId="60" fillId="2" borderId="15" xfId="2" applyNumberFormat="1" applyBorder="1" applyAlignment="1">
      <alignment horizontal="left"/>
    </xf>
    <xf numFmtId="0" fontId="72" fillId="2" borderId="0" xfId="2" applyNumberFormat="1" applyFont="1" applyAlignment="1">
      <alignment horizontal="center"/>
    </xf>
    <xf numFmtId="165" fontId="54" fillId="0" borderId="0" xfId="0" applyFont="1" applyAlignment="1" applyProtection="1">
      <alignment horizontal="center"/>
    </xf>
    <xf numFmtId="165" fontId="54" fillId="0" borderId="0" xfId="0" applyFont="1" applyAlignment="1">
      <alignment horizontal="left" vertical="top"/>
    </xf>
    <xf numFmtId="165" fontId="54" fillId="0" borderId="0" xfId="0" applyFont="1" applyAlignment="1">
      <alignment horizontal="left"/>
    </xf>
    <xf numFmtId="165" fontId="54" fillId="0" borderId="22" xfId="0" applyFont="1" applyBorder="1" applyAlignment="1">
      <alignment horizontal="centerContinuous"/>
    </xf>
    <xf numFmtId="165" fontId="54" fillId="0" borderId="79" xfId="0" applyFont="1" applyBorder="1" applyAlignment="1">
      <alignment horizontal="centerContinuous"/>
    </xf>
    <xf numFmtId="165" fontId="54" fillId="0" borderId="66" xfId="0" applyFont="1" applyBorder="1" applyAlignment="1">
      <alignment horizontal="centerContinuous"/>
    </xf>
    <xf numFmtId="165" fontId="54" fillId="0" borderId="0" xfId="0" applyFont="1" applyAlignment="1">
      <alignment horizontal="center" vertical="justify"/>
    </xf>
    <xf numFmtId="165" fontId="58" fillId="0" borderId="40" xfId="0" applyFont="1" applyBorder="1" applyAlignment="1">
      <alignment horizontal="center" vertical="justify" textRotation="180"/>
    </xf>
    <xf numFmtId="165" fontId="10" fillId="0" borderId="0" xfId="0" applyFont="1" applyAlignment="1">
      <alignment horizontal="center" vertical="justify"/>
    </xf>
    <xf numFmtId="165" fontId="54" fillId="0" borderId="0" xfId="0" applyFont="1" applyAlignment="1">
      <alignment horizontal="center"/>
    </xf>
    <xf numFmtId="165" fontId="54" fillId="0" borderId="40" xfId="0" applyFont="1" applyBorder="1" applyAlignment="1">
      <alignment horizontal="center"/>
    </xf>
    <xf numFmtId="165" fontId="54" fillId="0" borderId="0" xfId="0" applyFont="1" applyAlignment="1" applyProtection="1">
      <alignment horizontal="center"/>
      <protection locked="0"/>
    </xf>
  </cellXfs>
  <cellStyles count="4">
    <cellStyle name="Normal" xfId="0" builtinId="0"/>
    <cellStyle name="Normal_pcassurance2" xfId="1" xr:uid="{00000000-0005-0000-0000-000001000000}"/>
    <cellStyle name="Normal_qmc216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19050</xdr:rowOff>
    </xdr:from>
    <xdr:to>
      <xdr:col>10</xdr:col>
      <xdr:colOff>257175</xdr:colOff>
      <xdr:row>2</xdr:row>
      <xdr:rowOff>314325</xdr:rowOff>
    </xdr:to>
    <xdr:pic>
      <xdr:nvPicPr>
        <xdr:cNvPr id="6184" name="Picture 3">
          <a:extLst>
            <a:ext uri="{FF2B5EF4-FFF2-40B4-BE49-F238E27FC236}">
              <a16:creationId xmlns:a16="http://schemas.microsoft.com/office/drawing/2014/main" id="{00000000-0008-0000-0B00-00002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9050"/>
          <a:ext cx="63436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114300</xdr:rowOff>
    </xdr:from>
    <xdr:to>
      <xdr:col>9</xdr:col>
      <xdr:colOff>0</xdr:colOff>
      <xdr:row>10</xdr:row>
      <xdr:rowOff>137160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0759C3-A107-4144-8227-AAAF2C1E20FA}"/>
            </a:ext>
          </a:extLst>
        </xdr:cNvPr>
        <xdr:cNvSpPr>
          <a:spLocks noChangeShapeType="1"/>
        </xdr:cNvSpPr>
      </xdr:nvSpPr>
      <xdr:spPr bwMode="auto">
        <a:xfrm>
          <a:off x="4857750" y="1647825"/>
          <a:ext cx="0" cy="5372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5</xdr:col>
      <xdr:colOff>367861</xdr:colOff>
      <xdr:row>1</xdr:row>
      <xdr:rowOff>227724</xdr:rowOff>
    </xdr:from>
    <xdr:to>
      <xdr:col>11</xdr:col>
      <xdr:colOff>82213</xdr:colOff>
      <xdr:row>4</xdr:row>
      <xdr:rowOff>151524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F096C7-6237-4CFD-A420-62B55BAADF2D}"/>
            </a:ext>
          </a:extLst>
        </xdr:cNvPr>
        <xdr:cNvSpPr txBox="1"/>
      </xdr:nvSpPr>
      <xdr:spPr>
        <a:xfrm>
          <a:off x="3349186" y="475374"/>
          <a:ext cx="2486127" cy="666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*Measured span length between test apparatus supports - typically 12" for 4"x4" beams or 18" for 6"x6" beams.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4407" name="Line 1">
          <a:extLst>
            <a:ext uri="{FF2B5EF4-FFF2-40B4-BE49-F238E27FC236}">
              <a16:creationId xmlns:a16="http://schemas.microsoft.com/office/drawing/2014/main" id="{00000000-0008-0000-1000-000047380000}"/>
            </a:ext>
          </a:extLst>
        </xdr:cNvPr>
        <xdr:cNvSpPr>
          <a:spLocks noChangeShapeType="1"/>
        </xdr:cNvSpPr>
      </xdr:nvSpPr>
      <xdr:spPr bwMode="auto">
        <a:xfrm>
          <a:off x="962025" y="571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704850</xdr:colOff>
      <xdr:row>3</xdr:row>
      <xdr:rowOff>0</xdr:rowOff>
    </xdr:from>
    <xdr:to>
      <xdr:col>3</xdr:col>
      <xdr:colOff>19050</xdr:colOff>
      <xdr:row>3</xdr:row>
      <xdr:rowOff>0</xdr:rowOff>
    </xdr:to>
    <xdr:sp macro="" textlink="">
      <xdr:nvSpPr>
        <xdr:cNvPr id="14408" name="Line 2">
          <a:extLst>
            <a:ext uri="{FF2B5EF4-FFF2-40B4-BE49-F238E27FC236}">
              <a16:creationId xmlns:a16="http://schemas.microsoft.com/office/drawing/2014/main" id="{00000000-0008-0000-1000-000048380000}"/>
            </a:ext>
          </a:extLst>
        </xdr:cNvPr>
        <xdr:cNvSpPr>
          <a:spLocks noChangeShapeType="1"/>
        </xdr:cNvSpPr>
      </xdr:nvSpPr>
      <xdr:spPr bwMode="auto">
        <a:xfrm>
          <a:off x="1657350" y="57150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5431" name="Line 1">
          <a:extLst>
            <a:ext uri="{FF2B5EF4-FFF2-40B4-BE49-F238E27FC236}">
              <a16:creationId xmlns:a16="http://schemas.microsoft.com/office/drawing/2014/main" id="{00000000-0008-0000-1100-0000473C0000}"/>
            </a:ext>
          </a:extLst>
        </xdr:cNvPr>
        <xdr:cNvSpPr>
          <a:spLocks noChangeShapeType="1"/>
        </xdr:cNvSpPr>
      </xdr:nvSpPr>
      <xdr:spPr bwMode="auto">
        <a:xfrm>
          <a:off x="962025" y="571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704850</xdr:colOff>
      <xdr:row>3</xdr:row>
      <xdr:rowOff>0</xdr:rowOff>
    </xdr:from>
    <xdr:to>
      <xdr:col>3</xdr:col>
      <xdr:colOff>19050</xdr:colOff>
      <xdr:row>3</xdr:row>
      <xdr:rowOff>0</xdr:rowOff>
    </xdr:to>
    <xdr:sp macro="" textlink="">
      <xdr:nvSpPr>
        <xdr:cNvPr id="15432" name="Line 2">
          <a:extLst>
            <a:ext uri="{FF2B5EF4-FFF2-40B4-BE49-F238E27FC236}">
              <a16:creationId xmlns:a16="http://schemas.microsoft.com/office/drawing/2014/main" id="{00000000-0008-0000-1100-0000483C0000}"/>
            </a:ext>
          </a:extLst>
        </xdr:cNvPr>
        <xdr:cNvSpPr>
          <a:spLocks noChangeShapeType="1"/>
        </xdr:cNvSpPr>
      </xdr:nvSpPr>
      <xdr:spPr bwMode="auto">
        <a:xfrm>
          <a:off x="1657350" y="57150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zoomScale="87" workbookViewId="0">
      <selection activeCell="B9" sqref="B9"/>
    </sheetView>
  </sheetViews>
  <sheetFormatPr defaultRowHeight="15"/>
  <cols>
    <col min="1" max="1" width="48.77734375" customWidth="1"/>
    <col min="2" max="2" width="13.77734375" customWidth="1"/>
    <col min="3" max="3" width="12.77734375" customWidth="1"/>
  </cols>
  <sheetData>
    <row r="1" spans="1:3">
      <c r="A1" s="327" t="s">
        <v>478</v>
      </c>
      <c r="B1" s="446"/>
      <c r="C1" s="328"/>
    </row>
    <row r="2" spans="1:3">
      <c r="A2" s="447" t="s">
        <v>464</v>
      </c>
      <c r="B2" s="447"/>
      <c r="C2" s="448"/>
    </row>
    <row r="3" spans="1:3">
      <c r="A3" s="449"/>
      <c r="B3" s="449"/>
      <c r="C3" s="449"/>
    </row>
    <row r="4" spans="1:3" ht="15.75" thickBot="1">
      <c r="A4" s="450" t="s">
        <v>448</v>
      </c>
      <c r="B4" s="451" t="s">
        <v>449</v>
      </c>
      <c r="C4" s="452" t="s">
        <v>450</v>
      </c>
    </row>
    <row r="5" spans="1:3" ht="15.75" thickTop="1">
      <c r="A5" s="453" t="s">
        <v>451</v>
      </c>
      <c r="B5" s="454" t="s">
        <v>227</v>
      </c>
      <c r="C5" s="455"/>
    </row>
    <row r="6" spans="1:3">
      <c r="A6" s="453" t="s">
        <v>459</v>
      </c>
      <c r="B6" s="456" t="s">
        <v>455</v>
      </c>
      <c r="C6" s="455"/>
    </row>
    <row r="7" spans="1:3">
      <c r="A7" s="453" t="s">
        <v>483</v>
      </c>
      <c r="B7" s="456" t="s">
        <v>454</v>
      </c>
      <c r="C7" s="455"/>
    </row>
    <row r="8" spans="1:3">
      <c r="A8" s="453" t="s">
        <v>483</v>
      </c>
      <c r="B8" s="456" t="s">
        <v>534</v>
      </c>
      <c r="C8" s="455"/>
    </row>
    <row r="9" spans="1:3">
      <c r="A9" s="453" t="s">
        <v>452</v>
      </c>
      <c r="B9" s="456" t="s">
        <v>453</v>
      </c>
      <c r="C9" s="455"/>
    </row>
    <row r="10" spans="1:3">
      <c r="A10" s="457" t="s">
        <v>524</v>
      </c>
      <c r="B10" s="456" t="s">
        <v>525</v>
      </c>
      <c r="C10" s="455"/>
    </row>
    <row r="11" spans="1:3">
      <c r="A11" s="453" t="s">
        <v>463</v>
      </c>
      <c r="B11" s="456" t="s">
        <v>456</v>
      </c>
      <c r="C11" s="455"/>
    </row>
    <row r="12" spans="1:3">
      <c r="A12" s="453" t="s">
        <v>461</v>
      </c>
      <c r="B12" s="459" t="s">
        <v>460</v>
      </c>
      <c r="C12" s="455"/>
    </row>
    <row r="13" spans="1:3">
      <c r="A13" s="457" t="s">
        <v>457</v>
      </c>
      <c r="B13" s="458" t="s">
        <v>462</v>
      </c>
      <c r="C13" s="455"/>
    </row>
    <row r="14" spans="1:3">
      <c r="A14" s="457" t="s">
        <v>526</v>
      </c>
      <c r="B14" s="458" t="s">
        <v>528</v>
      </c>
      <c r="C14" s="455"/>
    </row>
    <row r="15" spans="1:3">
      <c r="A15" s="457" t="s">
        <v>458</v>
      </c>
      <c r="B15" s="458" t="s">
        <v>471</v>
      </c>
      <c r="C15" s="458"/>
    </row>
    <row r="16" spans="1:3">
      <c r="A16" s="457" t="s">
        <v>484</v>
      </c>
      <c r="B16" s="458" t="s">
        <v>485</v>
      </c>
      <c r="C16" s="455"/>
    </row>
    <row r="17" spans="1:3">
      <c r="A17" s="453"/>
      <c r="B17" s="456"/>
      <c r="C17" s="455"/>
    </row>
    <row r="18" spans="1:3">
      <c r="A18" s="453"/>
      <c r="B18" s="456"/>
      <c r="C18" s="455"/>
    </row>
    <row r="19" spans="1:3">
      <c r="A19" s="453"/>
      <c r="B19" s="456"/>
      <c r="C19" s="455"/>
    </row>
    <row r="20" spans="1:3">
      <c r="A20" s="453"/>
      <c r="B20" s="456"/>
      <c r="C20" s="455"/>
    </row>
    <row r="21" spans="1:3">
      <c r="A21" s="453"/>
      <c r="B21" s="456"/>
      <c r="C21" s="455"/>
    </row>
    <row r="22" spans="1:3">
      <c r="A22" s="457"/>
      <c r="B22" s="458"/>
      <c r="C22" s="457"/>
    </row>
    <row r="23" spans="1:3">
      <c r="A23" s="453"/>
      <c r="B23" s="456"/>
      <c r="C23" s="455"/>
    </row>
    <row r="24" spans="1:3">
      <c r="A24" s="453"/>
      <c r="B24" s="456"/>
      <c r="C24" s="455"/>
    </row>
    <row r="25" spans="1:3">
      <c r="A25" s="453"/>
      <c r="B25" s="456"/>
      <c r="C25" s="455"/>
    </row>
    <row r="26" spans="1:3">
      <c r="A26" s="453"/>
      <c r="B26" s="456"/>
      <c r="C26" s="455"/>
    </row>
    <row r="27" spans="1:3">
      <c r="A27" s="453"/>
      <c r="B27" s="456"/>
      <c r="C27" s="455"/>
    </row>
    <row r="28" spans="1:3">
      <c r="A28" s="453"/>
      <c r="B28" s="456"/>
      <c r="C28" s="455"/>
    </row>
    <row r="29" spans="1:3">
      <c r="A29" s="453"/>
      <c r="B29" s="456"/>
      <c r="C29" s="455"/>
    </row>
    <row r="30" spans="1:3">
      <c r="A30" s="453"/>
      <c r="B30" s="456"/>
      <c r="C30" s="455"/>
    </row>
    <row r="31" spans="1:3">
      <c r="A31" s="453"/>
      <c r="B31" s="456"/>
      <c r="C31" s="455"/>
    </row>
    <row r="32" spans="1:3">
      <c r="A32" s="453"/>
      <c r="B32" s="456"/>
      <c r="C32" s="455"/>
    </row>
    <row r="33" spans="1:3">
      <c r="A33" s="453"/>
      <c r="B33" s="456"/>
      <c r="C33" s="455"/>
    </row>
    <row r="34" spans="1:3">
      <c r="A34" s="453"/>
      <c r="B34" s="456"/>
      <c r="C34" s="455"/>
    </row>
    <row r="35" spans="1:3">
      <c r="A35" s="453"/>
      <c r="B35" s="456"/>
      <c r="C35" s="455"/>
    </row>
    <row r="36" spans="1:3">
      <c r="A36" s="453"/>
      <c r="B36" s="456"/>
      <c r="C36" s="455"/>
    </row>
    <row r="37" spans="1:3">
      <c r="A37" s="453"/>
      <c r="B37" s="456"/>
      <c r="C37" s="455"/>
    </row>
    <row r="38" spans="1:3">
      <c r="A38" s="453"/>
      <c r="B38" s="456"/>
      <c r="C38" s="455"/>
    </row>
  </sheetData>
  <phoneticPr fontId="4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AE52"/>
  <sheetViews>
    <sheetView defaultGridColor="0" view="pageBreakPreview" colorId="22" zoomScale="75" zoomScaleNormal="60" workbookViewId="0">
      <pane xSplit="1" topLeftCell="B1" activePane="topRight" state="frozen"/>
      <selection pane="topRight" activeCell="J24" sqref="J24:J31"/>
    </sheetView>
  </sheetViews>
  <sheetFormatPr defaultColWidth="9.77734375" defaultRowHeight="15"/>
  <cols>
    <col min="1" max="1" width="15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476</v>
      </c>
      <c r="B1" s="518"/>
    </row>
    <row r="2" spans="1:29" ht="21" customHeight="1">
      <c r="A2" s="44" t="s">
        <v>159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160</v>
      </c>
      <c r="B3" s="223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17" t="s">
        <v>157</v>
      </c>
      <c r="B4" s="198"/>
      <c r="C4" s="557" t="s">
        <v>31</v>
      </c>
      <c r="D4" s="561"/>
      <c r="E4" s="190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145</v>
      </c>
      <c r="U4" s="45"/>
      <c r="V4" s="45"/>
      <c r="W4" s="45"/>
      <c r="Y4" s="48" t="s">
        <v>85</v>
      </c>
      <c r="Z4" s="45"/>
    </row>
    <row r="5" spans="1:29" ht="21" customHeight="1" thickTop="1">
      <c r="A5" s="33" t="s">
        <v>37</v>
      </c>
      <c r="B5" s="199"/>
      <c r="C5" s="29"/>
      <c r="D5" s="562" t="str">
        <f>IF(E4&lt;5,"",IF(E4&lt;99.5,"Check Weights.",IF(E4&gt;100.5,"Check Weights","")))</f>
        <v/>
      </c>
      <c r="E5" s="563"/>
      <c r="F5" s="35"/>
      <c r="G5" s="194">
        <f t="shared" ref="G5:G12" si="0">IF($M$14=100,$M5,IF($N$14=100,$N5,IF($O$14=100,$O5,IF($P$14=100,$P5,IF($Q$14=100,$Q5,IF($R$14=100,$R5,$R5))))))</f>
        <v>0.1</v>
      </c>
      <c r="H5" s="194">
        <f>IF(D12=0,0,100)</f>
        <v>0</v>
      </c>
      <c r="I5" s="195">
        <f t="shared" ref="I5:I11" si="1">IF(H5&gt;9.9,ROUND(H5,0),ROUND(H5,1))</f>
        <v>0</v>
      </c>
      <c r="J5" s="13" t="str">
        <f>IF('Proj Info'!B39=" "," ",'Proj Info'!B39)</f>
        <v>100</v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86</v>
      </c>
      <c r="U5" s="50"/>
      <c r="V5" s="50"/>
      <c r="W5" s="51"/>
      <c r="X5" s="52"/>
      <c r="Y5" s="52">
        <f>'HPC-D Mix'!D18</f>
        <v>0</v>
      </c>
      <c r="Z5" s="53" t="e">
        <f>Y5/(SUM($Y$5:$Y$7))</f>
        <v>#DIV/0!</v>
      </c>
    </row>
    <row r="6" spans="1:29" ht="21" customHeight="1">
      <c r="A6" s="33" t="s">
        <v>38</v>
      </c>
      <c r="B6" s="199"/>
      <c r="C6" s="29"/>
      <c r="D6" s="31"/>
      <c r="E6" s="29"/>
      <c r="F6" s="29"/>
      <c r="G6" s="194">
        <f t="shared" si="0"/>
        <v>0.1</v>
      </c>
      <c r="H6" s="194">
        <f t="shared" ref="H6:H11" si="8">IF(H5=0,0,(H5-G6))</f>
        <v>0</v>
      </c>
      <c r="I6" s="195">
        <f t="shared" si="1"/>
        <v>0</v>
      </c>
      <c r="J6" s="13" t="str">
        <f>IF('Proj Info'!B40=" "," ",'Proj Info'!B40)</f>
        <v>95-100</v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87</v>
      </c>
      <c r="U6" s="55"/>
      <c r="V6" s="55"/>
      <c r="W6" s="56"/>
      <c r="X6" s="57"/>
      <c r="Y6" s="58">
        <f>'HPC-D Mix'!D19</f>
        <v>0</v>
      </c>
      <c r="Z6" s="59" t="e">
        <f>Y6/(SUM($Y$5:$Y$7))</f>
        <v>#DIV/0!</v>
      </c>
    </row>
    <row r="7" spans="1:29" ht="21" customHeight="1" thickBot="1">
      <c r="A7" s="33" t="s">
        <v>39</v>
      </c>
      <c r="B7" s="199"/>
      <c r="C7" s="29"/>
      <c r="D7" s="29"/>
      <c r="E7" s="29"/>
      <c r="F7" s="29"/>
      <c r="G7" s="194">
        <f t="shared" si="0"/>
        <v>0.1</v>
      </c>
      <c r="H7" s="194">
        <f t="shared" si="8"/>
        <v>0</v>
      </c>
      <c r="I7" s="195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88</v>
      </c>
      <c r="U7" s="61"/>
      <c r="V7" s="61"/>
      <c r="W7" s="62"/>
      <c r="X7" s="63"/>
      <c r="Y7" s="64">
        <f>'HPC-D Mix'!D20</f>
        <v>0</v>
      </c>
      <c r="Z7" s="65" t="e">
        <f>Y7/(SUM($Y$5:Y$7))</f>
        <v>#DIV/0!</v>
      </c>
    </row>
    <row r="8" spans="1:29" ht="21" customHeight="1" thickTop="1">
      <c r="A8" s="33" t="s">
        <v>40</v>
      </c>
      <c r="B8" s="199"/>
      <c r="C8" s="29"/>
      <c r="D8" s="29"/>
      <c r="E8" s="29"/>
      <c r="F8" s="29"/>
      <c r="G8" s="194">
        <f t="shared" si="0"/>
        <v>0.1</v>
      </c>
      <c r="H8" s="194">
        <f t="shared" si="8"/>
        <v>0</v>
      </c>
      <c r="I8" s="195">
        <f t="shared" si="1"/>
        <v>0</v>
      </c>
      <c r="J8" s="13" t="str">
        <f>IF('Proj Info'!B42=" "," ",'Proj Info'!B42)</f>
        <v>25-60</v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41</v>
      </c>
      <c r="B9" s="199"/>
      <c r="C9" s="29"/>
      <c r="D9" s="29"/>
      <c r="E9" s="29"/>
      <c r="F9" s="29"/>
      <c r="G9" s="194">
        <f t="shared" si="0"/>
        <v>0.1</v>
      </c>
      <c r="H9" s="194">
        <f t="shared" si="8"/>
        <v>0</v>
      </c>
      <c r="I9" s="195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42</v>
      </c>
      <c r="B10" s="199"/>
      <c r="C10" s="29"/>
      <c r="D10" s="29"/>
      <c r="E10" s="29"/>
      <c r="F10" s="29"/>
      <c r="G10" s="194">
        <f t="shared" si="0"/>
        <v>0.1</v>
      </c>
      <c r="H10" s="194">
        <f t="shared" si="8"/>
        <v>0</v>
      </c>
      <c r="I10" s="195">
        <f t="shared" si="1"/>
        <v>0</v>
      </c>
      <c r="J10" s="13" t="str">
        <f>IF('Proj Info'!B44=" "," ",'Proj Info'!B44)</f>
        <v>0-10</v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43</v>
      </c>
      <c r="B11" s="199"/>
      <c r="C11" s="29"/>
      <c r="D11" s="36" t="s">
        <v>27</v>
      </c>
      <c r="E11" s="29"/>
      <c r="F11" s="29"/>
      <c r="G11" s="194">
        <f t="shared" si="0"/>
        <v>0.1</v>
      </c>
      <c r="H11" s="194">
        <f t="shared" si="8"/>
        <v>0</v>
      </c>
      <c r="I11" s="195">
        <f t="shared" si="1"/>
        <v>0</v>
      </c>
      <c r="J11" s="13" t="str">
        <f>IF('Proj Info'!B45=" "," ",'Proj Info'!B45)</f>
        <v>0-5</v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46</v>
      </c>
      <c r="B12" s="192"/>
      <c r="C12" s="29"/>
      <c r="D12" s="197">
        <f>IF(B12="",0,SUM(B5:B12))</f>
        <v>0</v>
      </c>
      <c r="E12" s="29"/>
      <c r="F12" s="29"/>
      <c r="G12" s="194">
        <f t="shared" si="0"/>
        <v>0.1</v>
      </c>
      <c r="H12" s="37"/>
      <c r="I12" s="37"/>
      <c r="J12" s="221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102</v>
      </c>
      <c r="U12" s="45"/>
      <c r="V12" s="45"/>
      <c r="W12" s="45"/>
      <c r="X12" s="48"/>
      <c r="Y12" s="48"/>
      <c r="Z12" s="45"/>
      <c r="AA12" s="93"/>
      <c r="AB12" s="93"/>
      <c r="AC12" s="94"/>
    </row>
    <row r="13" spans="1:29" ht="21" customHeight="1" thickBot="1">
      <c r="A13" s="218" t="s">
        <v>157</v>
      </c>
      <c r="B13" s="200"/>
      <c r="C13" s="37" t="s">
        <v>44</v>
      </c>
      <c r="D13" s="29"/>
      <c r="E13" s="29"/>
      <c r="F13" s="29"/>
      <c r="G13" s="194">
        <f>SUM(G5:G12)</f>
        <v>0.79999999999999993</v>
      </c>
      <c r="H13" s="196"/>
      <c r="I13" s="196"/>
      <c r="J13" s="221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5"/>
      <c r="Y13" s="95"/>
      <c r="Z13" s="66"/>
      <c r="AA13" s="66"/>
      <c r="AB13" s="66"/>
      <c r="AC13" s="2"/>
    </row>
    <row r="14" spans="1:29" ht="21" customHeight="1" thickTop="1">
      <c r="A14" s="219" t="s">
        <v>158</v>
      </c>
      <c r="B14" s="201"/>
      <c r="C14" s="37" t="s">
        <v>45</v>
      </c>
      <c r="D14" s="29"/>
      <c r="E14" s="29"/>
      <c r="F14" s="29"/>
      <c r="G14" s="196"/>
      <c r="H14" s="38" t="s">
        <v>17</v>
      </c>
      <c r="I14" s="193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89</v>
      </c>
      <c r="Z14" s="68" t="s">
        <v>90</v>
      </c>
      <c r="AA14" s="68" t="s">
        <v>90</v>
      </c>
      <c r="AB14" s="68" t="s">
        <v>90</v>
      </c>
      <c r="AC14" s="69"/>
    </row>
    <row r="15" spans="1:29" ht="21" customHeight="1">
      <c r="A15" s="33" t="s">
        <v>46</v>
      </c>
      <c r="B15" s="192"/>
      <c r="C15" s="37" t="s">
        <v>47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91</v>
      </c>
      <c r="U15" s="71" t="s">
        <v>16</v>
      </c>
      <c r="V15" s="71" t="s">
        <v>16</v>
      </c>
      <c r="W15" s="71" t="s">
        <v>16</v>
      </c>
      <c r="X15" s="71"/>
      <c r="Y15" s="71" t="s">
        <v>92</v>
      </c>
      <c r="Z15" s="71" t="s">
        <v>93</v>
      </c>
      <c r="AA15" s="71" t="s">
        <v>94</v>
      </c>
      <c r="AB15" s="71" t="s">
        <v>95</v>
      </c>
      <c r="AC15" s="72" t="s">
        <v>96</v>
      </c>
    </row>
    <row r="16" spans="1:29" ht="21" customHeight="1">
      <c r="A16" s="33" t="s">
        <v>48</v>
      </c>
      <c r="B16" s="193">
        <f>IF(B14="",0,SUM(B13-B14))</f>
        <v>0</v>
      </c>
      <c r="C16" s="37" t="s">
        <v>49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97</v>
      </c>
      <c r="U16" s="71" t="s">
        <v>83</v>
      </c>
      <c r="V16" s="71" t="s">
        <v>83</v>
      </c>
      <c r="W16" s="71" t="s">
        <v>83</v>
      </c>
      <c r="X16" s="71"/>
      <c r="Y16" s="71" t="s">
        <v>98</v>
      </c>
      <c r="Z16" s="71" t="s">
        <v>98</v>
      </c>
      <c r="AA16" s="71" t="s">
        <v>98</v>
      </c>
      <c r="AB16" s="71" t="s">
        <v>98</v>
      </c>
      <c r="AC16" s="73" t="s">
        <v>93</v>
      </c>
    </row>
    <row r="17" spans="1:31" ht="21" customHeight="1" thickBot="1">
      <c r="A17" s="33" t="s">
        <v>50</v>
      </c>
      <c r="B17" s="202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99</v>
      </c>
      <c r="V17" s="75" t="s">
        <v>99</v>
      </c>
      <c r="W17" s="75" t="s">
        <v>99</v>
      </c>
      <c r="X17" s="75"/>
      <c r="Y17" s="75" t="s">
        <v>99</v>
      </c>
      <c r="Z17" s="75" t="s">
        <v>99</v>
      </c>
      <c r="AA17" s="75" t="s">
        <v>99</v>
      </c>
      <c r="AB17" s="75" t="s">
        <v>99</v>
      </c>
      <c r="AC17" s="76"/>
    </row>
    <row r="18" spans="1:31" ht="21" customHeight="1" thickTop="1">
      <c r="A18" s="33" t="s">
        <v>161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100</v>
      </c>
      <c r="U19" s="83">
        <f>'Grad 3'!I5</f>
        <v>0</v>
      </c>
      <c r="V19" s="83">
        <f>'Grad 3'!I22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85" t="str">
        <f t="shared" ref="Y19:Y30" si="10">IF(ISNUMBER(X19),((IF(X19&gt;9.9,ROUND(X19,0),ROUND(X19,1)))),"")</f>
        <v/>
      </c>
      <c r="Z19" s="83">
        <f>'Grad 1'!Z19</f>
        <v>100</v>
      </c>
      <c r="AA19" s="102">
        <f t="shared" ref="AA19:AA24" si="11">IF((Z19-5)&gt;0,Z19-5,0)</f>
        <v>95</v>
      </c>
      <c r="AB19" s="102">
        <f t="shared" ref="AB19:AB24" si="12">IF(Z19+5&gt;100,100,Z19+5)</f>
        <v>100</v>
      </c>
      <c r="AC19" s="81" t="str">
        <f t="shared" ref="AC19:AC30" si="13">IF(AND(AA19&lt;=X19,X19&lt;=AB19),"Yes","No")</f>
        <v>No</v>
      </c>
      <c r="AD19" s="101">
        <f>IF(AC19="YES",1,0)</f>
        <v>0</v>
      </c>
      <c r="AE19" t="str">
        <f>CONCATENATE(AA19,"-",AB19)</f>
        <v>95-100</v>
      </c>
    </row>
    <row r="20" spans="1:31" ht="21" customHeight="1">
      <c r="A20" s="25" t="s">
        <v>160</v>
      </c>
      <c r="B20" s="223"/>
      <c r="C20" s="27"/>
      <c r="D20" s="28"/>
      <c r="E20" s="29"/>
      <c r="F20" s="29"/>
      <c r="G20" s="10" t="s">
        <v>51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66</v>
      </c>
      <c r="U20" s="83">
        <f>'Grad 3'!I6</f>
        <v>0</v>
      </c>
      <c r="V20" s="83">
        <f>'Grad 3'!I23</f>
        <v>0</v>
      </c>
      <c r="W20" s="83">
        <v>100</v>
      </c>
      <c r="X20" s="84" t="str">
        <f t="shared" ref="X20:X30" si="14">IF($B$4=0," ",IF($B$20=" ",U20*$Z$5+W20*$Z$7,U20*$Z$5+V20*$Z$6+W20*Z$7))</f>
        <v xml:space="preserve"> </v>
      </c>
      <c r="Y20" s="85" t="str">
        <f t="shared" si="10"/>
        <v/>
      </c>
      <c r="Z20" s="83">
        <f>'Grad 1'!Z20</f>
        <v>0</v>
      </c>
      <c r="AA20" s="102">
        <f t="shared" si="11"/>
        <v>0</v>
      </c>
      <c r="AB20" s="102">
        <f t="shared" si="12"/>
        <v>5</v>
      </c>
      <c r="AC20" s="81" t="str">
        <f t="shared" si="13"/>
        <v>No</v>
      </c>
      <c r="AD20" s="101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217" t="s">
        <v>157</v>
      </c>
      <c r="B21" s="198"/>
      <c r="C21" s="557" t="s">
        <v>31</v>
      </c>
      <c r="D21" s="561"/>
      <c r="E21" s="190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67</v>
      </c>
      <c r="U21" s="83">
        <f>'Grad 3'!I7</f>
        <v>0</v>
      </c>
      <c r="V21" s="83">
        <f>'Grad 3'!I24</f>
        <v>0</v>
      </c>
      <c r="W21" s="83">
        <v>100</v>
      </c>
      <c r="X21" s="84" t="str">
        <f t="shared" si="14"/>
        <v xml:space="preserve"> </v>
      </c>
      <c r="Y21" s="85" t="str">
        <f t="shared" si="10"/>
        <v/>
      </c>
      <c r="Z21" s="83">
        <f>'Grad 1'!Z21</f>
        <v>0</v>
      </c>
      <c r="AA21" s="102">
        <f t="shared" si="11"/>
        <v>0</v>
      </c>
      <c r="AB21" s="102">
        <f t="shared" si="12"/>
        <v>5</v>
      </c>
      <c r="AC21" s="81" t="str">
        <f t="shared" si="13"/>
        <v>No</v>
      </c>
      <c r="AD21" s="101">
        <f t="shared" si="15"/>
        <v>0</v>
      </c>
      <c r="AE21" t="str">
        <f t="shared" si="16"/>
        <v>0-5</v>
      </c>
    </row>
    <row r="22" spans="1:31" ht="21" customHeight="1">
      <c r="A22" s="33" t="s">
        <v>37</v>
      </c>
      <c r="B22" s="199"/>
      <c r="C22" s="29"/>
      <c r="D22" s="562" t="str">
        <f>IF(E21&lt;5,"",IF(E21&lt;99.5,"Check Weights.",IF(E21&gt;100.5,"Check Weights","")))</f>
        <v/>
      </c>
      <c r="E22" s="563"/>
      <c r="F22" s="35"/>
      <c r="G22" s="194">
        <f>IF($M$22=100,$M22,IF($N$22=100,$N22,IF($O$22=100,$O22,IF($P$22=100,$P22,IF($Q$22=100,$Q22,IF($R$22=100,$R22,$R22))))))</f>
        <v>0.1</v>
      </c>
      <c r="H22" s="194">
        <f>IF(D29=0,0,100)</f>
        <v>0</v>
      </c>
      <c r="I22" s="195">
        <f t="shared" ref="I22:I28" si="17">IF(H22&gt;9.9,ROUND(H22,0),ROUND(H22,1))</f>
        <v>0</v>
      </c>
      <c r="J22" s="204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68</v>
      </c>
      <c r="U22" s="83">
        <f>'Grad 3'!I8</f>
        <v>0</v>
      </c>
      <c r="V22" s="83">
        <f>'Grad 3'!I25</f>
        <v>0</v>
      </c>
      <c r="W22" s="83">
        <f>'Grad 3'!I41</f>
        <v>0</v>
      </c>
      <c r="X22" s="84" t="str">
        <f t="shared" si="14"/>
        <v xml:space="preserve"> </v>
      </c>
      <c r="Y22" s="85" t="str">
        <f t="shared" si="10"/>
        <v/>
      </c>
      <c r="Z22" s="83">
        <f>'Grad 1'!Z22</f>
        <v>0</v>
      </c>
      <c r="AA22" s="102">
        <f t="shared" si="11"/>
        <v>0</v>
      </c>
      <c r="AB22" s="102">
        <f t="shared" si="12"/>
        <v>5</v>
      </c>
      <c r="AC22" s="81" t="str">
        <f t="shared" si="13"/>
        <v>No</v>
      </c>
      <c r="AD22" s="101">
        <f t="shared" si="15"/>
        <v>0</v>
      </c>
      <c r="AE22" t="str">
        <f t="shared" si="16"/>
        <v>0-5</v>
      </c>
    </row>
    <row r="23" spans="1:31" ht="21" customHeight="1">
      <c r="A23" s="33" t="s">
        <v>38</v>
      </c>
      <c r="B23" s="199"/>
      <c r="C23" s="29"/>
      <c r="D23" s="31"/>
      <c r="E23" s="29"/>
      <c r="F23" s="29"/>
      <c r="G23" s="194">
        <f>IF($M$23=100,$M23,IF($N$23=100,$N23,IF($O$23=100,$O23,IF($P$23=100,$P23,IF($Q$23=100,$Q23,IF($R$23=100,$R23,$R23))))))</f>
        <v>0.1</v>
      </c>
      <c r="H23" s="194">
        <f t="shared" ref="H23:H28" si="18">IF(H22=0,0,(H22-G23))</f>
        <v>0</v>
      </c>
      <c r="I23" s="195">
        <f t="shared" si="17"/>
        <v>0</v>
      </c>
      <c r="J23" s="204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T23" s="82" t="s">
        <v>69</v>
      </c>
      <c r="U23" s="83">
        <f>'Grad 3'!I9</f>
        <v>0</v>
      </c>
      <c r="V23" s="83">
        <f>'Grad 3'!I26</f>
        <v>0</v>
      </c>
      <c r="W23" s="83">
        <f>'Grad 3'!I42</f>
        <v>0</v>
      </c>
      <c r="X23" s="84" t="str">
        <f t="shared" si="14"/>
        <v xml:space="preserve"> </v>
      </c>
      <c r="Y23" s="85" t="str">
        <f t="shared" si="10"/>
        <v/>
      </c>
      <c r="Z23" s="83">
        <f>'Grad 1'!Z23</f>
        <v>0</v>
      </c>
      <c r="AA23" s="102">
        <f t="shared" si="11"/>
        <v>0</v>
      </c>
      <c r="AB23" s="102">
        <f t="shared" si="12"/>
        <v>5</v>
      </c>
      <c r="AC23" s="81" t="str">
        <f t="shared" si="13"/>
        <v>No</v>
      </c>
      <c r="AD23" s="101">
        <f t="shared" si="15"/>
        <v>0</v>
      </c>
      <c r="AE23" t="str">
        <f t="shared" si="16"/>
        <v>0-5</v>
      </c>
    </row>
    <row r="24" spans="1:31" ht="21" customHeight="1">
      <c r="A24" s="33" t="s">
        <v>39</v>
      </c>
      <c r="B24" s="199"/>
      <c r="C24" s="29"/>
      <c r="D24" s="29"/>
      <c r="E24" s="29"/>
      <c r="F24" s="29"/>
      <c r="G24" s="194">
        <f t="shared" ref="G24:G29" si="25">IF($M$14=100,$M24,IF($N$14=100,$N24,IF($O$14=100,$O24,IF($P$14=100,$P24,IF($Q$14=100,$Q24,IF($R$14=100,$R24,$R24))))))</f>
        <v>0.1</v>
      </c>
      <c r="H24" s="194">
        <f t="shared" si="18"/>
        <v>0</v>
      </c>
      <c r="I24" s="195">
        <f t="shared" si="17"/>
        <v>0</v>
      </c>
      <c r="J24" s="20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T24" s="82" t="s">
        <v>70</v>
      </c>
      <c r="U24" s="83">
        <f>'Grad 3'!I10</f>
        <v>0</v>
      </c>
      <c r="V24" s="83">
        <f>'Grad 3'!I27</f>
        <v>0</v>
      </c>
      <c r="W24" s="83">
        <f>'Grad 3'!I43</f>
        <v>0</v>
      </c>
      <c r="X24" s="84" t="str">
        <f t="shared" si="14"/>
        <v xml:space="preserve"> </v>
      </c>
      <c r="Y24" s="85" t="str">
        <f t="shared" si="10"/>
        <v/>
      </c>
      <c r="Z24" s="83">
        <f>'Grad 1'!Z24</f>
        <v>0</v>
      </c>
      <c r="AA24" s="102">
        <f t="shared" si="11"/>
        <v>0</v>
      </c>
      <c r="AB24" s="102">
        <f t="shared" si="12"/>
        <v>5</v>
      </c>
      <c r="AC24" s="81" t="str">
        <f t="shared" si="13"/>
        <v>No</v>
      </c>
      <c r="AD24" s="101">
        <f t="shared" si="15"/>
        <v>0</v>
      </c>
      <c r="AE24" t="str">
        <f t="shared" si="16"/>
        <v>0-5</v>
      </c>
    </row>
    <row r="25" spans="1:31" ht="21" customHeight="1">
      <c r="A25" s="33" t="s">
        <v>40</v>
      </c>
      <c r="B25" s="199"/>
      <c r="C25" s="29"/>
      <c r="D25" s="29"/>
      <c r="E25" s="29"/>
      <c r="F25" s="29"/>
      <c r="G25" s="194">
        <f t="shared" si="25"/>
        <v>0.1</v>
      </c>
      <c r="H25" s="194">
        <f t="shared" si="18"/>
        <v>0</v>
      </c>
      <c r="I25" s="195">
        <f t="shared" si="17"/>
        <v>0</v>
      </c>
      <c r="J25" s="20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T25" s="82" t="s">
        <v>71</v>
      </c>
      <c r="U25" s="83">
        <f>'Grad 3'!I11</f>
        <v>0</v>
      </c>
      <c r="V25" s="83">
        <f>'Grad 3'!I28</f>
        <v>0</v>
      </c>
      <c r="W25" s="83">
        <f>'Grad 3'!I44</f>
        <v>0</v>
      </c>
      <c r="X25" s="84" t="str">
        <f t="shared" si="14"/>
        <v xml:space="preserve"> </v>
      </c>
      <c r="Y25" s="85" t="str">
        <f t="shared" si="10"/>
        <v/>
      </c>
      <c r="Z25" s="83">
        <f>'Grad 1'!Z25</f>
        <v>0</v>
      </c>
      <c r="AA25" s="102">
        <f>IF((Z25-4)&gt;0,Z25-4,0)</f>
        <v>0</v>
      </c>
      <c r="AB25" s="102">
        <f>Z25+4</f>
        <v>4</v>
      </c>
      <c r="AC25" s="81" t="str">
        <f t="shared" si="13"/>
        <v>No</v>
      </c>
      <c r="AD25" s="101">
        <f t="shared" si="15"/>
        <v>0</v>
      </c>
      <c r="AE25" t="str">
        <f t="shared" si="16"/>
        <v>0-4</v>
      </c>
    </row>
    <row r="26" spans="1:31" ht="21" customHeight="1">
      <c r="A26" s="33" t="s">
        <v>41</v>
      </c>
      <c r="B26" s="199"/>
      <c r="C26" s="29"/>
      <c r="D26" s="29"/>
      <c r="E26" s="29"/>
      <c r="F26" s="29"/>
      <c r="G26" s="194">
        <f t="shared" si="25"/>
        <v>0.1</v>
      </c>
      <c r="H26" s="194">
        <f t="shared" si="18"/>
        <v>0</v>
      </c>
      <c r="I26" s="195">
        <f t="shared" si="17"/>
        <v>0</v>
      </c>
      <c r="J26" s="20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T26" s="82" t="s">
        <v>72</v>
      </c>
      <c r="U26" s="87">
        <f>U25-($U$25-$U$30)/5</f>
        <v>0</v>
      </c>
      <c r="V26" s="87">
        <f>V25-($V$25-$V$30)/5</f>
        <v>0</v>
      </c>
      <c r="W26" s="83">
        <f>'Grad 3'!I45</f>
        <v>0</v>
      </c>
      <c r="X26" s="84" t="str">
        <f t="shared" si="14"/>
        <v xml:space="preserve"> </v>
      </c>
      <c r="Y26" s="85" t="str">
        <f t="shared" si="10"/>
        <v/>
      </c>
      <c r="Z26" s="83">
        <f>'Grad 1'!Z26</f>
        <v>0</v>
      </c>
      <c r="AA26" s="102">
        <f>IF((Z26-4)&gt;0,Z26-4,0)</f>
        <v>0</v>
      </c>
      <c r="AB26" s="102">
        <f>Z26+4</f>
        <v>4</v>
      </c>
      <c r="AC26" s="81" t="str">
        <f t="shared" si="13"/>
        <v>No</v>
      </c>
      <c r="AD26" s="101">
        <f t="shared" si="15"/>
        <v>0</v>
      </c>
      <c r="AE26" t="str">
        <f t="shared" si="16"/>
        <v>0-4</v>
      </c>
    </row>
    <row r="27" spans="1:31" ht="21" customHeight="1">
      <c r="A27" s="33" t="s">
        <v>42</v>
      </c>
      <c r="B27" s="199"/>
      <c r="C27" s="29"/>
      <c r="D27" s="29"/>
      <c r="E27" s="29"/>
      <c r="F27" s="29"/>
      <c r="G27" s="194">
        <f t="shared" si="25"/>
        <v>0.1</v>
      </c>
      <c r="H27" s="194">
        <f t="shared" si="18"/>
        <v>0</v>
      </c>
      <c r="I27" s="195">
        <f t="shared" si="17"/>
        <v>0</v>
      </c>
      <c r="J27" s="204" t="str">
        <f>IF('Proj Info'!B50=" "," ",'Proj Info'!B50)</f>
        <v>0-30</v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T27" s="82" t="s">
        <v>73</v>
      </c>
      <c r="U27" s="87">
        <f>U26-($U$25-$U$30)/5</f>
        <v>0</v>
      </c>
      <c r="V27" s="87">
        <f>V26-($V$25-$V$30)/5</f>
        <v>0</v>
      </c>
      <c r="W27" s="83">
        <f>'Grad 3'!I46</f>
        <v>0</v>
      </c>
      <c r="X27" s="84" t="str">
        <f t="shared" si="14"/>
        <v xml:space="preserve"> </v>
      </c>
      <c r="Y27" s="85" t="str">
        <f t="shared" si="10"/>
        <v/>
      </c>
      <c r="Z27" s="83">
        <f>'Grad 1'!Z27</f>
        <v>0</v>
      </c>
      <c r="AA27" s="102">
        <f>IF((Z27-4)&gt;0,Z27-4,0)</f>
        <v>0</v>
      </c>
      <c r="AB27" s="102">
        <f>Z27+4</f>
        <v>4</v>
      </c>
      <c r="AC27" s="81" t="str">
        <f t="shared" si="13"/>
        <v>No</v>
      </c>
      <c r="AD27" s="101">
        <f t="shared" si="15"/>
        <v>0</v>
      </c>
      <c r="AE27" t="str">
        <f t="shared" si="16"/>
        <v>0-4</v>
      </c>
    </row>
    <row r="28" spans="1:31" ht="21" customHeight="1" thickBot="1">
      <c r="A28" s="33" t="s">
        <v>43</v>
      </c>
      <c r="B28" s="199"/>
      <c r="C28" s="29"/>
      <c r="D28" s="36" t="s">
        <v>27</v>
      </c>
      <c r="E28" s="29"/>
      <c r="F28" s="29"/>
      <c r="G28" s="194">
        <f t="shared" si="25"/>
        <v>0.1</v>
      </c>
      <c r="H28" s="194">
        <f t="shared" si="18"/>
        <v>0</v>
      </c>
      <c r="I28" s="195">
        <f t="shared" si="17"/>
        <v>0</v>
      </c>
      <c r="J28" s="204" t="str">
        <f>IF('Proj Info'!B51=" "," ",'Proj Info'!B51)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T28" s="82" t="s">
        <v>74</v>
      </c>
      <c r="U28" s="87">
        <f>U27-($U$25-$U$30)/5</f>
        <v>0</v>
      </c>
      <c r="V28" s="87">
        <f>V27-($V$25-$V$30)/5</f>
        <v>0</v>
      </c>
      <c r="W28" s="83">
        <f>'Grad 3'!I47</f>
        <v>0</v>
      </c>
      <c r="X28" s="84" t="str">
        <f t="shared" si="14"/>
        <v xml:space="preserve"> </v>
      </c>
      <c r="Y28" s="85" t="str">
        <f t="shared" si="10"/>
        <v/>
      </c>
      <c r="Z28" s="83">
        <f>'Grad 1'!Z28</f>
        <v>0</v>
      </c>
      <c r="AA28" s="102">
        <f>IF((Z28-3)&gt;0,Z28-3,0)</f>
        <v>0</v>
      </c>
      <c r="AB28" s="102">
        <f>Z28+3</f>
        <v>3</v>
      </c>
      <c r="AC28" s="81" t="str">
        <f t="shared" si="13"/>
        <v>No</v>
      </c>
      <c r="AD28" s="101">
        <f t="shared" si="15"/>
        <v>0</v>
      </c>
      <c r="AE28" t="str">
        <f t="shared" si="16"/>
        <v>0-3</v>
      </c>
    </row>
    <row r="29" spans="1:31" ht="21" customHeight="1" thickBot="1">
      <c r="A29" s="33" t="s">
        <v>46</v>
      </c>
      <c r="B29" s="192"/>
      <c r="C29" s="29"/>
      <c r="D29" s="197">
        <f>IF(B29="",0,SUM(B22:B29))</f>
        <v>0</v>
      </c>
      <c r="E29" s="29"/>
      <c r="F29" s="29"/>
      <c r="G29" s="194">
        <f t="shared" si="25"/>
        <v>0.1</v>
      </c>
      <c r="H29" s="37"/>
      <c r="I29" s="37"/>
      <c r="J29" s="207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T29" s="82" t="s">
        <v>75</v>
      </c>
      <c r="U29" s="87">
        <f>U28-($U$25-$U$30)/5</f>
        <v>0</v>
      </c>
      <c r="V29" s="87">
        <f>V28-($V$25-$V$30)/5</f>
        <v>0</v>
      </c>
      <c r="W29" s="83">
        <f>'Grad 3'!I48</f>
        <v>0</v>
      </c>
      <c r="X29" s="84" t="str">
        <f t="shared" si="14"/>
        <v xml:space="preserve"> </v>
      </c>
      <c r="Y29" s="85" t="str">
        <f t="shared" si="10"/>
        <v/>
      </c>
      <c r="Z29" s="83">
        <f>'Grad 1'!Z29</f>
        <v>0</v>
      </c>
      <c r="AA29" s="102">
        <f>IF((Z29-2)&gt;0,Z29-2,0)</f>
        <v>0</v>
      </c>
      <c r="AB29" s="102">
        <f>Z29+2</f>
        <v>2</v>
      </c>
      <c r="AC29" s="81" t="str">
        <f t="shared" si="13"/>
        <v>No</v>
      </c>
      <c r="AD29" s="101">
        <f t="shared" si="15"/>
        <v>0</v>
      </c>
      <c r="AE29" t="str">
        <f t="shared" si="16"/>
        <v>0-2</v>
      </c>
    </row>
    <row r="30" spans="1:31" ht="21" customHeight="1">
      <c r="A30" s="218" t="s">
        <v>157</v>
      </c>
      <c r="B30" s="200"/>
      <c r="C30" s="37" t="s">
        <v>44</v>
      </c>
      <c r="D30" s="29"/>
      <c r="E30" s="29"/>
      <c r="F30" s="29"/>
      <c r="G30" s="194">
        <f>SUM(G22:G29)</f>
        <v>0.79999999999999993</v>
      </c>
      <c r="H30" s="196"/>
      <c r="I30" s="196"/>
      <c r="J30" s="207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3'!$I$14</f>
        <v>0</v>
      </c>
      <c r="V30" s="83">
        <f>'Grad 3'!$I$31</f>
        <v>0</v>
      </c>
      <c r="W30" s="83">
        <f>'Grad 3'!I49</f>
        <v>0</v>
      </c>
      <c r="X30" s="84" t="str">
        <f t="shared" si="14"/>
        <v xml:space="preserve"> </v>
      </c>
      <c r="Y30" s="85" t="str">
        <f t="shared" si="10"/>
        <v/>
      </c>
      <c r="Z30" s="83">
        <f>'Grad 1'!Z30</f>
        <v>2</v>
      </c>
      <c r="AA30" s="102">
        <v>0</v>
      </c>
      <c r="AB30" s="83">
        <f>Z30</f>
        <v>2</v>
      </c>
      <c r="AC30" s="81" t="str">
        <f t="shared" si="13"/>
        <v>No</v>
      </c>
      <c r="AD30" s="101">
        <f t="shared" si="15"/>
        <v>0</v>
      </c>
      <c r="AE30" t="str">
        <f t="shared" si="16"/>
        <v>0-2</v>
      </c>
    </row>
    <row r="31" spans="1:31" ht="21" customHeight="1" thickBot="1">
      <c r="A31" s="219" t="s">
        <v>158</v>
      </c>
      <c r="B31" s="201"/>
      <c r="C31" s="37" t="s">
        <v>45</v>
      </c>
      <c r="D31" s="29"/>
      <c r="E31" s="29"/>
      <c r="F31" s="29"/>
      <c r="G31" s="196"/>
      <c r="H31" s="38" t="s">
        <v>17</v>
      </c>
      <c r="I31" s="193">
        <f>ROUND(IF(B34=0,0,SUM(B34/B30)*100),1)</f>
        <v>0</v>
      </c>
      <c r="J31" s="204" t="str">
        <f>IF('Proj Info'!B52=" "," ",'Proj Info'!B52)</f>
        <v>0-2.5</v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8"/>
      <c r="U31" s="92"/>
      <c r="V31" s="92"/>
      <c r="W31" s="92"/>
      <c r="X31" s="90"/>
      <c r="Y31" s="90"/>
      <c r="Z31" s="96"/>
      <c r="AA31" s="92"/>
      <c r="AB31" s="92"/>
      <c r="AC31" s="76"/>
      <c r="AD31" s="101">
        <f>+SUM(AD19:AD30)</f>
        <v>0</v>
      </c>
      <c r="AE31" t="str">
        <f>IF(AD31=12,"Y","N")</f>
        <v>N</v>
      </c>
    </row>
    <row r="32" spans="1:31" ht="21" customHeight="1" thickTop="1">
      <c r="A32" s="33" t="s">
        <v>46</v>
      </c>
      <c r="B32" s="192"/>
      <c r="C32" s="37" t="s">
        <v>47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142</v>
      </c>
      <c r="Y32" s="170" t="str">
        <f>IF(Y19="","",((100-Y19)+(Y19-Y20)+(Y20-Y21)+(Y21-Y22)+(Y22-Y23))/((100-Y19)+(Y19-Y20)+(Y20-Y21)+(Y21-Y22)+(Y22-Y23)+(Y23-Y24)+(Y24-Y25))*100)</f>
        <v/>
      </c>
    </row>
    <row r="33" spans="1:25" ht="21" customHeight="1">
      <c r="A33" s="33" t="s">
        <v>48</v>
      </c>
      <c r="B33" s="193">
        <f>IF(B31="",0,SUM(B30-B31))</f>
        <v>0</v>
      </c>
      <c r="C33" s="37" t="s">
        <v>49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143</v>
      </c>
      <c r="Y33" s="170" t="str">
        <f>IF(Y25="","",Y25)</f>
        <v/>
      </c>
    </row>
    <row r="34" spans="1:25" ht="21" customHeight="1">
      <c r="A34" s="33" t="s">
        <v>50</v>
      </c>
      <c r="B34" s="202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161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220" t="s">
        <v>160</v>
      </c>
      <c r="B38" s="222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130" t="s">
        <v>157</v>
      </c>
      <c r="B39" s="192"/>
      <c r="C39" s="557" t="s">
        <v>52</v>
      </c>
      <c r="D39" s="558"/>
      <c r="E39" s="190">
        <f>ROUND(IF(D51=0,0,SUM(D51/B39)*100),1)</f>
        <v>0</v>
      </c>
      <c r="F39" s="31" t="s">
        <v>32</v>
      </c>
      <c r="G39" s="10" t="s">
        <v>53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130" t="s">
        <v>158</v>
      </c>
      <c r="B40" s="192"/>
      <c r="C40" s="29"/>
      <c r="D40" s="562" t="str">
        <f>IF(E39&lt;5,"",IF(E39&lt;99.5,"Check Weights.",IF(E39&gt;100.5,"Check Weights","")))</f>
        <v/>
      </c>
      <c r="E40" s="563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130" t="s">
        <v>110</v>
      </c>
      <c r="B41" s="192"/>
      <c r="C41" s="29"/>
      <c r="D41" s="34"/>
      <c r="E41" s="35"/>
      <c r="F41" s="35"/>
      <c r="G41" s="193">
        <f>IF($M$52=100,$M41,IF($N$52=100,$N41,IF($O$52=100,$O41,IF($P$52=100,$P41,IF($Q$52=100,$Q41,IF($R$52=100,$R41,$R41))))))</f>
        <v>0.1</v>
      </c>
      <c r="H41" s="193">
        <f>IF(D51=0,0,100-G41)</f>
        <v>0</v>
      </c>
      <c r="I41" s="203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</row>
    <row r="42" spans="1:25" ht="21" customHeight="1">
      <c r="A42" s="33" t="s">
        <v>41</v>
      </c>
      <c r="B42" s="192"/>
      <c r="C42" s="29"/>
      <c r="D42" s="29"/>
      <c r="E42" s="29"/>
      <c r="F42" s="29"/>
      <c r="G42" s="193">
        <f t="shared" ref="G42:G47" si="27">IF($M$52=100,$M42,IF($N$52=100,$N42,IF($O$52=100,$O42,IF($P$52=100,$P42,IF($Q$52=100,$Q42,IF($R$52=100,$R42,$R42))))))</f>
        <v>0.1</v>
      </c>
      <c r="H42" s="193">
        <f t="shared" ref="H42:H49" si="28">IF(H41=0,0,(H41-G42))</f>
        <v>0</v>
      </c>
      <c r="I42" s="203">
        <f t="shared" ref="I42:I49" si="29">IF(H42&gt;9.9,ROUND(H42,0),ROUND(H42,1))</f>
        <v>0</v>
      </c>
      <c r="J42" s="13" t="str">
        <f>IF('Proj Info'!B53=" "," ",'Proj Info'!B53)</f>
        <v>100</v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</row>
    <row r="43" spans="1:25" ht="21" customHeight="1">
      <c r="A43" s="33" t="s">
        <v>42</v>
      </c>
      <c r="B43" s="192"/>
      <c r="C43" s="29"/>
      <c r="D43" s="29"/>
      <c r="E43" s="29"/>
      <c r="F43" s="29"/>
      <c r="G43" s="193">
        <f t="shared" si="27"/>
        <v>0.1</v>
      </c>
      <c r="H43" s="193">
        <f t="shared" si="28"/>
        <v>0</v>
      </c>
      <c r="I43" s="203">
        <f t="shared" si="29"/>
        <v>0</v>
      </c>
      <c r="J43" s="13" t="str">
        <f>IF('Proj Info'!B54=" "," ",'Proj Info'!B54)</f>
        <v>90-100</v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</row>
    <row r="44" spans="1:25" ht="21" customHeight="1">
      <c r="A44" s="33" t="s">
        <v>43</v>
      </c>
      <c r="B44" s="192"/>
      <c r="C44" s="29"/>
      <c r="D44" s="29"/>
      <c r="E44" s="29"/>
      <c r="F44" s="29"/>
      <c r="G44" s="193">
        <f t="shared" si="27"/>
        <v>0.1</v>
      </c>
      <c r="H44" s="193">
        <f t="shared" si="28"/>
        <v>0</v>
      </c>
      <c r="I44" s="203">
        <f t="shared" si="29"/>
        <v>0</v>
      </c>
      <c r="J44" s="13" t="str">
        <f>IF('Proj Info'!B55=" "," ",'Proj Info'!B55)</f>
        <v>70-100</v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25" ht="21" customHeight="1">
      <c r="A45" s="33" t="s">
        <v>76</v>
      </c>
      <c r="B45" s="192"/>
      <c r="C45" s="29"/>
      <c r="D45" s="29"/>
      <c r="E45" s="29"/>
      <c r="F45" s="29"/>
      <c r="G45" s="193">
        <f t="shared" si="27"/>
        <v>0.1</v>
      </c>
      <c r="H45" s="193">
        <f t="shared" si="28"/>
        <v>0</v>
      </c>
      <c r="I45" s="203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25" ht="21" customHeight="1">
      <c r="A46" s="33" t="s">
        <v>77</v>
      </c>
      <c r="B46" s="192"/>
      <c r="C46" s="29"/>
      <c r="D46" s="29"/>
      <c r="E46" s="29"/>
      <c r="F46" s="29"/>
      <c r="G46" s="193">
        <f t="shared" si="27"/>
        <v>0.1</v>
      </c>
      <c r="H46" s="193">
        <f t="shared" si="28"/>
        <v>0</v>
      </c>
      <c r="I46" s="203">
        <f t="shared" si="29"/>
        <v>0</v>
      </c>
      <c r="J46" s="13" t="str">
        <f>IF('Proj Info'!B56=" "," ",'Proj Info'!B56)</f>
        <v>10-60</v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25" ht="21" customHeight="1">
      <c r="A47" s="33" t="s">
        <v>78</v>
      </c>
      <c r="B47" s="192"/>
      <c r="C47" s="29"/>
      <c r="D47" s="29"/>
      <c r="E47" s="29"/>
      <c r="F47" s="29"/>
      <c r="G47" s="193">
        <f t="shared" si="27"/>
        <v>0.1</v>
      </c>
      <c r="H47" s="193">
        <f t="shared" si="28"/>
        <v>0</v>
      </c>
      <c r="I47" s="203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25" ht="21" customHeight="1">
      <c r="A48" s="33" t="s">
        <v>79</v>
      </c>
      <c r="B48" s="192"/>
      <c r="C48" s="29"/>
      <c r="D48" s="29"/>
      <c r="E48" s="29"/>
      <c r="F48" s="29"/>
      <c r="G48" s="193">
        <f>IF($M$52=100,$M48,IF($N$52=100,$N48,IF($O$52=100,$O48,IF($P$52=100,$P48,IF($Q$52=100,$Q48,IF($R$52=100,$R48,$R48))))))</f>
        <v>0.1</v>
      </c>
      <c r="H48" s="193">
        <f t="shared" si="28"/>
        <v>0</v>
      </c>
      <c r="I48" s="203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80</v>
      </c>
      <c r="B49" s="192"/>
      <c r="C49" s="29"/>
      <c r="D49" s="29"/>
      <c r="E49" s="29"/>
      <c r="F49" s="29"/>
      <c r="G49" s="193">
        <f>IF($M$52=100,$M49,IF($N$52=100,$N49,IF($O$52=100,$O49,IF($P$52=100,$P49,IF($Q$52=100,$Q49,IF($R$52=100,$R49,$R49))))))</f>
        <v>0.1</v>
      </c>
      <c r="H49" s="193">
        <f t="shared" si="28"/>
        <v>0</v>
      </c>
      <c r="I49" s="203">
        <f t="shared" si="29"/>
        <v>0</v>
      </c>
      <c r="J49" s="13" t="str">
        <f>IF('Proj Info'!B57=" "," ",'Proj Info'!B57)</f>
        <v>0-1.5</v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54</v>
      </c>
      <c r="B50" s="192"/>
      <c r="C50" s="29"/>
      <c r="D50" s="36" t="s">
        <v>27</v>
      </c>
      <c r="E50" s="29"/>
      <c r="F50" s="29"/>
      <c r="G50" s="193">
        <f>IF($M$52=100,$M50,IF($N$52=100,$N50,IF($O$52=100,$O50,IF($P$52=100,$P50,IF($Q$52=100,$Q50,IF($R$52=100,$R50,$R50))))))</f>
        <v>0.1</v>
      </c>
      <c r="H50" s="189"/>
      <c r="I50" s="189"/>
      <c r="J50" s="189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55</v>
      </c>
      <c r="B51" s="193">
        <f>IF(B40="",0,SUM(B39-B40))</f>
        <v>0</v>
      </c>
      <c r="C51" s="29"/>
      <c r="D51" s="191">
        <f>IF(B50="",0,SUM(B41:B51))</f>
        <v>0</v>
      </c>
      <c r="E51" s="29"/>
      <c r="F51" s="29"/>
      <c r="G51" s="193">
        <f>IF(G50="",0,SUM(G41:G50))</f>
        <v>0.99999999999999989</v>
      </c>
      <c r="H51" s="189"/>
      <c r="I51" s="189"/>
      <c r="J51" s="189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161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x45YiLnCSxwDfG2MGPIQRQI2XpFI4IkrUjQyn3t9Lq45BXb3fN4f3gmR8d62YYr/xR1FGSeufDjZf417yFEGmw==" saltValue="fg1v1Mb1u3dzFoT6jZdfoA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AE52"/>
  <sheetViews>
    <sheetView defaultGridColor="0" view="pageBreakPreview" colorId="22" zoomScale="75" zoomScaleNormal="60" workbookViewId="0">
      <pane xSplit="1" topLeftCell="B1" activePane="topRight" state="frozen"/>
      <selection pane="topRight" activeCell="J24" sqref="J24:J31"/>
    </sheetView>
  </sheetViews>
  <sheetFormatPr defaultColWidth="9.77734375" defaultRowHeight="15"/>
  <cols>
    <col min="1" max="1" width="15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476</v>
      </c>
      <c r="B1" s="518"/>
    </row>
    <row r="2" spans="1:29" ht="21" customHeight="1">
      <c r="A2" s="44" t="s">
        <v>159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160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17" t="s">
        <v>157</v>
      </c>
      <c r="B4" s="198"/>
      <c r="C4" s="557" t="s">
        <v>31</v>
      </c>
      <c r="D4" s="561"/>
      <c r="E4" s="190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146</v>
      </c>
      <c r="U4" s="45"/>
      <c r="V4" s="45"/>
      <c r="W4" s="45"/>
      <c r="Y4" s="48" t="s">
        <v>85</v>
      </c>
      <c r="Z4" s="45"/>
    </row>
    <row r="5" spans="1:29" ht="21" customHeight="1" thickTop="1">
      <c r="A5" s="33" t="s">
        <v>37</v>
      </c>
      <c r="B5" s="199"/>
      <c r="C5" s="29"/>
      <c r="D5" s="562" t="str">
        <f>IF(E4&lt;5,"",IF(E4&lt;99.5,"Check Weights.",IF(E4&gt;100.5,"Check Weights","")))</f>
        <v/>
      </c>
      <c r="E5" s="563"/>
      <c r="F5" s="29"/>
      <c r="G5" s="194">
        <f t="shared" ref="G5:G12" si="0">IF($M$14=100,$M5,IF($N$14=100,$N5,IF($O$14=100,$O5,IF($P$14=100,$P5,IF($Q$14=100,$Q5,IF($R$14=100,$R5,$R5))))))</f>
        <v>0.1</v>
      </c>
      <c r="H5" s="194">
        <f>IF(D12=0,0,100)</f>
        <v>0</v>
      </c>
      <c r="I5" s="195">
        <f t="shared" ref="I5:I11" si="1">IF(H5&gt;9.9,ROUND(H5,0),ROUND(H5,1))</f>
        <v>0</v>
      </c>
      <c r="J5" s="13" t="str">
        <f>IF('Proj Info'!B39=" "," ",'Proj Info'!B39)</f>
        <v>100</v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86</v>
      </c>
      <c r="U5" s="50"/>
      <c r="V5" s="50"/>
      <c r="W5" s="51"/>
      <c r="X5" s="52"/>
      <c r="Y5" s="52">
        <f>'HPC-D Mix'!D25</f>
        <v>0</v>
      </c>
      <c r="Z5" s="53" t="e">
        <f>Y5/(SUM($Y$5:$Y$7))</f>
        <v>#DIV/0!</v>
      </c>
    </row>
    <row r="6" spans="1:29" ht="21" customHeight="1">
      <c r="A6" s="33" t="s">
        <v>38</v>
      </c>
      <c r="B6" s="199"/>
      <c r="C6" s="29"/>
      <c r="D6" s="31"/>
      <c r="E6" s="29"/>
      <c r="F6" s="29"/>
      <c r="G6" s="194">
        <f t="shared" si="0"/>
        <v>0.1</v>
      </c>
      <c r="H6" s="194">
        <f t="shared" ref="H6:H11" si="8">IF(H5=0,0,(H5-G6))</f>
        <v>0</v>
      </c>
      <c r="I6" s="195">
        <f t="shared" si="1"/>
        <v>0</v>
      </c>
      <c r="J6" s="13" t="str">
        <f>IF('Proj Info'!B40=" "," ",'Proj Info'!B40)</f>
        <v>95-100</v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87</v>
      </c>
      <c r="U6" s="55"/>
      <c r="V6" s="55"/>
      <c r="W6" s="56"/>
      <c r="X6" s="57"/>
      <c r="Y6" s="58">
        <f>'HPC-D Mix'!D26</f>
        <v>0</v>
      </c>
      <c r="Z6" s="59" t="e">
        <f>Y6/(SUM($Y$5:$Y$7))</f>
        <v>#DIV/0!</v>
      </c>
    </row>
    <row r="7" spans="1:29" ht="21" customHeight="1" thickBot="1">
      <c r="A7" s="33" t="s">
        <v>39</v>
      </c>
      <c r="B7" s="199"/>
      <c r="C7" s="29"/>
      <c r="D7" s="29"/>
      <c r="E7" s="29"/>
      <c r="F7" s="29"/>
      <c r="G7" s="194">
        <f t="shared" si="0"/>
        <v>0.1</v>
      </c>
      <c r="H7" s="194">
        <f t="shared" si="8"/>
        <v>0</v>
      </c>
      <c r="I7" s="195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88</v>
      </c>
      <c r="U7" s="61"/>
      <c r="V7" s="61"/>
      <c r="W7" s="62"/>
      <c r="X7" s="63"/>
      <c r="Y7" s="64">
        <f>'HPC-D Mix'!D27</f>
        <v>0</v>
      </c>
      <c r="Z7" s="65" t="e">
        <f>Y7/(SUM($Y$5:Y$7))</f>
        <v>#DIV/0!</v>
      </c>
    </row>
    <row r="8" spans="1:29" ht="21" customHeight="1" thickTop="1">
      <c r="A8" s="33" t="s">
        <v>40</v>
      </c>
      <c r="B8" s="199"/>
      <c r="C8" s="29"/>
      <c r="D8" s="29"/>
      <c r="E8" s="29"/>
      <c r="F8" s="29"/>
      <c r="G8" s="194">
        <f t="shared" si="0"/>
        <v>0.1</v>
      </c>
      <c r="H8" s="194">
        <f t="shared" si="8"/>
        <v>0</v>
      </c>
      <c r="I8" s="195">
        <f t="shared" si="1"/>
        <v>0</v>
      </c>
      <c r="J8" s="13" t="str">
        <f>IF('Proj Info'!B42=" "," ",'Proj Info'!B42)</f>
        <v>25-60</v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41</v>
      </c>
      <c r="B9" s="199"/>
      <c r="C9" s="29"/>
      <c r="D9" s="29"/>
      <c r="E9" s="29"/>
      <c r="F9" s="29"/>
      <c r="G9" s="194">
        <f t="shared" si="0"/>
        <v>0.1</v>
      </c>
      <c r="H9" s="194">
        <f t="shared" si="8"/>
        <v>0</v>
      </c>
      <c r="I9" s="195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42</v>
      </c>
      <c r="B10" s="199"/>
      <c r="C10" s="29"/>
      <c r="D10" s="29"/>
      <c r="E10" s="29"/>
      <c r="F10" s="29"/>
      <c r="G10" s="194">
        <f t="shared" si="0"/>
        <v>0.1</v>
      </c>
      <c r="H10" s="194">
        <f t="shared" si="8"/>
        <v>0</v>
      </c>
      <c r="I10" s="195">
        <f t="shared" si="1"/>
        <v>0</v>
      </c>
      <c r="J10" s="13" t="str">
        <f>IF('Proj Info'!B44=" "," ",'Proj Info'!B44)</f>
        <v>0-10</v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43</v>
      </c>
      <c r="B11" s="199"/>
      <c r="C11" s="29"/>
      <c r="D11" s="36" t="s">
        <v>27</v>
      </c>
      <c r="E11" s="29"/>
      <c r="F11" s="29"/>
      <c r="G11" s="194">
        <f t="shared" si="0"/>
        <v>0.1</v>
      </c>
      <c r="H11" s="194">
        <f t="shared" si="8"/>
        <v>0</v>
      </c>
      <c r="I11" s="195">
        <f t="shared" si="1"/>
        <v>0</v>
      </c>
      <c r="J11" s="13" t="str">
        <f>IF('Proj Info'!B45=" "," ",'Proj Info'!B45)</f>
        <v>0-5</v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46</v>
      </c>
      <c r="B12" s="192"/>
      <c r="C12" s="29"/>
      <c r="D12" s="197">
        <f>IF(B12="",0,SUM(B5:B12))</f>
        <v>0</v>
      </c>
      <c r="E12" s="29"/>
      <c r="F12" s="29"/>
      <c r="G12" s="194">
        <f t="shared" si="0"/>
        <v>0.1</v>
      </c>
      <c r="H12" s="37"/>
      <c r="I12" s="37"/>
      <c r="J12" s="221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140</v>
      </c>
      <c r="U12" s="45"/>
      <c r="V12" s="45"/>
      <c r="W12" s="45"/>
      <c r="X12" s="48"/>
      <c r="Y12" s="48"/>
      <c r="Z12" s="45"/>
      <c r="AA12" s="93"/>
      <c r="AB12" s="93"/>
      <c r="AC12" s="94"/>
    </row>
    <row r="13" spans="1:29" ht="21" customHeight="1" thickBot="1">
      <c r="A13" s="218" t="s">
        <v>157</v>
      </c>
      <c r="B13" s="200"/>
      <c r="C13" s="37" t="s">
        <v>44</v>
      </c>
      <c r="D13" s="29"/>
      <c r="E13" s="29"/>
      <c r="F13" s="29"/>
      <c r="G13" s="194">
        <f>SUM(G5:G12)</f>
        <v>0.79999999999999993</v>
      </c>
      <c r="H13" s="196"/>
      <c r="I13" s="196"/>
      <c r="J13" s="221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5"/>
      <c r="Y13" s="95"/>
      <c r="Z13" s="66"/>
      <c r="AA13" s="66"/>
      <c r="AB13" s="66"/>
      <c r="AC13" s="2"/>
    </row>
    <row r="14" spans="1:29" ht="21" customHeight="1" thickTop="1">
      <c r="A14" s="219" t="s">
        <v>158</v>
      </c>
      <c r="B14" s="201"/>
      <c r="C14" s="37" t="s">
        <v>45</v>
      </c>
      <c r="D14" s="29"/>
      <c r="E14" s="29"/>
      <c r="F14" s="29"/>
      <c r="G14" s="196"/>
      <c r="H14" s="38" t="s">
        <v>17</v>
      </c>
      <c r="I14" s="193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89</v>
      </c>
      <c r="Z14" s="68" t="s">
        <v>90</v>
      </c>
      <c r="AA14" s="68" t="s">
        <v>90</v>
      </c>
      <c r="AB14" s="68" t="s">
        <v>90</v>
      </c>
      <c r="AC14" s="69"/>
    </row>
    <row r="15" spans="1:29" ht="21" customHeight="1">
      <c r="A15" s="33" t="s">
        <v>46</v>
      </c>
      <c r="B15" s="192"/>
      <c r="C15" s="37" t="s">
        <v>47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91</v>
      </c>
      <c r="U15" s="71" t="s">
        <v>16</v>
      </c>
      <c r="V15" s="71" t="s">
        <v>16</v>
      </c>
      <c r="W15" s="71" t="s">
        <v>16</v>
      </c>
      <c r="X15" s="71"/>
      <c r="Y15" s="71" t="s">
        <v>92</v>
      </c>
      <c r="Z15" s="71" t="s">
        <v>93</v>
      </c>
      <c r="AA15" s="71" t="s">
        <v>94</v>
      </c>
      <c r="AB15" s="71" t="s">
        <v>95</v>
      </c>
      <c r="AC15" s="72" t="s">
        <v>96</v>
      </c>
    </row>
    <row r="16" spans="1:29" ht="21" customHeight="1">
      <c r="A16" s="33" t="s">
        <v>48</v>
      </c>
      <c r="B16" s="193">
        <f>IF(B14="",0,SUM(B13-B14))</f>
        <v>0</v>
      </c>
      <c r="C16" s="37" t="s">
        <v>49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97</v>
      </c>
      <c r="U16" s="71" t="s">
        <v>83</v>
      </c>
      <c r="V16" s="71" t="s">
        <v>83</v>
      </c>
      <c r="W16" s="71" t="s">
        <v>83</v>
      </c>
      <c r="X16" s="71"/>
      <c r="Y16" s="71" t="s">
        <v>98</v>
      </c>
      <c r="Z16" s="71" t="s">
        <v>98</v>
      </c>
      <c r="AA16" s="71" t="s">
        <v>98</v>
      </c>
      <c r="AB16" s="71" t="s">
        <v>98</v>
      </c>
      <c r="AC16" s="73" t="s">
        <v>93</v>
      </c>
    </row>
    <row r="17" spans="1:31" ht="21" customHeight="1" thickBot="1">
      <c r="A17" s="33" t="s">
        <v>50</v>
      </c>
      <c r="B17" s="202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99</v>
      </c>
      <c r="V17" s="75" t="s">
        <v>99</v>
      </c>
      <c r="W17" s="75" t="s">
        <v>99</v>
      </c>
      <c r="X17" s="75"/>
      <c r="Y17" s="75" t="s">
        <v>99</v>
      </c>
      <c r="Z17" s="75" t="s">
        <v>99</v>
      </c>
      <c r="AA17" s="75" t="s">
        <v>99</v>
      </c>
      <c r="AB17" s="75" t="s">
        <v>99</v>
      </c>
      <c r="AC17" s="76"/>
    </row>
    <row r="18" spans="1:31" ht="21" customHeight="1" thickTop="1">
      <c r="A18" s="33" t="s">
        <v>161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100</v>
      </c>
      <c r="U19" s="83">
        <f>'Grad 4'!I5</f>
        <v>0</v>
      </c>
      <c r="V19" s="83">
        <f>'Grad 4'!I22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85" t="str">
        <f t="shared" ref="Y19:Y30" si="10">IF(ISNUMBER(X19),((IF(X19&gt;9.9,ROUND(X19,0),ROUND(X19,1)))),"")</f>
        <v/>
      </c>
      <c r="Z19" s="83">
        <f>'Grad 1'!Z19</f>
        <v>100</v>
      </c>
      <c r="AA19" s="102">
        <f t="shared" ref="AA19:AA24" si="11">IF((Z19-5)&gt;0,Z19-5,0)</f>
        <v>95</v>
      </c>
      <c r="AB19" s="102">
        <f t="shared" ref="AB19:AB24" si="12">IF(Z19+5&gt;100,100,Z19+5)</f>
        <v>100</v>
      </c>
      <c r="AC19" s="81" t="str">
        <f t="shared" ref="AC19:AC30" si="13">IF(AND(AA19&lt;=X19,X19&lt;=AB19),"Yes","No")</f>
        <v>No</v>
      </c>
      <c r="AD19" s="101">
        <f>IF(AC19="YES",1,0)</f>
        <v>0</v>
      </c>
      <c r="AE19" t="str">
        <f>CONCATENATE(AA19,"-",AB19)</f>
        <v>95-100</v>
      </c>
    </row>
    <row r="20" spans="1:31" ht="21" customHeight="1">
      <c r="A20" s="25" t="s">
        <v>160</v>
      </c>
      <c r="B20" s="26"/>
      <c r="C20" s="27"/>
      <c r="D20" s="28"/>
      <c r="E20" s="29"/>
      <c r="F20" s="29"/>
      <c r="G20" s="10" t="s">
        <v>51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66</v>
      </c>
      <c r="U20" s="83">
        <f>'Grad 4'!I6</f>
        <v>0</v>
      </c>
      <c r="V20" s="83">
        <f>'Grad 4'!I23</f>
        <v>0</v>
      </c>
      <c r="W20" s="83">
        <v>100</v>
      </c>
      <c r="X20" s="84" t="str">
        <f t="shared" ref="X20:X30" si="14">IF($B$4=0," ",IF($B$20=" ",U20*$Z$5+W20*$Z$7,U20*$Z$5+V20*$Z$6+W20*Z$7))</f>
        <v xml:space="preserve"> </v>
      </c>
      <c r="Y20" s="85" t="str">
        <f t="shared" si="10"/>
        <v/>
      </c>
      <c r="Z20" s="83">
        <f>'Grad 1'!Z20</f>
        <v>0</v>
      </c>
      <c r="AA20" s="102">
        <f t="shared" si="11"/>
        <v>0</v>
      </c>
      <c r="AB20" s="102">
        <f t="shared" si="12"/>
        <v>5</v>
      </c>
      <c r="AC20" s="81" t="str">
        <f t="shared" si="13"/>
        <v>No</v>
      </c>
      <c r="AD20" s="101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217" t="s">
        <v>157</v>
      </c>
      <c r="B21" s="198"/>
      <c r="C21" s="557" t="s">
        <v>31</v>
      </c>
      <c r="D21" s="561"/>
      <c r="E21" s="190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67</v>
      </c>
      <c r="U21" s="83">
        <f>'Grad 4'!I7</f>
        <v>0</v>
      </c>
      <c r="V21" s="83">
        <f>'Grad 4'!I24</f>
        <v>0</v>
      </c>
      <c r="W21" s="83">
        <v>100</v>
      </c>
      <c r="X21" s="84" t="str">
        <f t="shared" si="14"/>
        <v xml:space="preserve"> </v>
      </c>
      <c r="Y21" s="85" t="str">
        <f t="shared" si="10"/>
        <v/>
      </c>
      <c r="Z21" s="83">
        <f>'Grad 1'!Z21</f>
        <v>0</v>
      </c>
      <c r="AA21" s="102">
        <f t="shared" si="11"/>
        <v>0</v>
      </c>
      <c r="AB21" s="102">
        <f t="shared" si="12"/>
        <v>5</v>
      </c>
      <c r="AC21" s="81" t="str">
        <f t="shared" si="13"/>
        <v>No</v>
      </c>
      <c r="AD21" s="101">
        <f t="shared" si="15"/>
        <v>0</v>
      </c>
      <c r="AE21" t="str">
        <f t="shared" si="16"/>
        <v>0-5</v>
      </c>
    </row>
    <row r="22" spans="1:31" ht="21" customHeight="1">
      <c r="A22" s="33" t="s">
        <v>37</v>
      </c>
      <c r="B22" s="199"/>
      <c r="C22" s="29"/>
      <c r="D22" s="562" t="str">
        <f>IF(E21&lt;5,"",IF(E21&lt;99.5,"Check Weights.",IF(E21&gt;100.5,"Check Weights","")))</f>
        <v/>
      </c>
      <c r="E22" s="563"/>
      <c r="F22" s="29"/>
      <c r="G22" s="194">
        <f>IF($M$22=100,$M22,IF($N$22=100,$N22,IF($O$22=100,$O22,IF($P$22=100,$P22,IF($Q$22=100,$Q22,IF($R$22=100,$R22,$R22))))))</f>
        <v>0.1</v>
      </c>
      <c r="H22" s="194">
        <f>IF(D29=0,0,100)</f>
        <v>0</v>
      </c>
      <c r="I22" s="195">
        <f t="shared" ref="I22:I28" si="17">IF(H22&gt;9.9,ROUND(H22,0),ROUND(H22,1))</f>
        <v>0</v>
      </c>
      <c r="J22" s="204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T22" s="82" t="s">
        <v>68</v>
      </c>
      <c r="U22" s="83">
        <f>'Grad 4'!I8</f>
        <v>0</v>
      </c>
      <c r="V22" s="83">
        <f>'Grad 4'!I25</f>
        <v>0</v>
      </c>
      <c r="W22" s="83">
        <f>'Grad 4'!I41</f>
        <v>0</v>
      </c>
      <c r="X22" s="84" t="str">
        <f t="shared" si="14"/>
        <v xml:space="preserve"> </v>
      </c>
      <c r="Y22" s="85" t="str">
        <f t="shared" si="10"/>
        <v/>
      </c>
      <c r="Z22" s="83">
        <f>'Grad 1'!Z22</f>
        <v>0</v>
      </c>
      <c r="AA22" s="102">
        <f t="shared" si="11"/>
        <v>0</v>
      </c>
      <c r="AB22" s="102">
        <f t="shared" si="12"/>
        <v>5</v>
      </c>
      <c r="AC22" s="81" t="str">
        <f t="shared" si="13"/>
        <v>No</v>
      </c>
      <c r="AD22" s="101">
        <f t="shared" si="15"/>
        <v>0</v>
      </c>
      <c r="AE22" t="str">
        <f t="shared" si="16"/>
        <v>0-5</v>
      </c>
    </row>
    <row r="23" spans="1:31" ht="21" customHeight="1">
      <c r="A23" s="33" t="s">
        <v>38</v>
      </c>
      <c r="B23" s="199"/>
      <c r="C23" s="29"/>
      <c r="D23" s="31"/>
      <c r="E23" s="29"/>
      <c r="F23" s="29"/>
      <c r="G23" s="194">
        <f>IF($M$23=100,$M23,IF($N$23=100,$N23,IF($O$23=100,$O23,IF($P$23=100,$P23,IF($Q$23=100,$Q23,IF($R$23=100,$R23,$R23))))))</f>
        <v>0.1</v>
      </c>
      <c r="H23" s="194">
        <f t="shared" ref="H23:H28" si="24">IF(H22=0,0,(H22-G23))</f>
        <v>0</v>
      </c>
      <c r="I23" s="195">
        <f t="shared" si="17"/>
        <v>0</v>
      </c>
      <c r="J23" s="204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T23" s="82" t="s">
        <v>69</v>
      </c>
      <c r="U23" s="83">
        <f>'Grad 4'!I9</f>
        <v>0</v>
      </c>
      <c r="V23" s="83">
        <f>'Grad 4'!I26</f>
        <v>0</v>
      </c>
      <c r="W23" s="83">
        <f>'Grad 4'!I42</f>
        <v>0</v>
      </c>
      <c r="X23" s="84" t="str">
        <f t="shared" si="14"/>
        <v xml:space="preserve"> </v>
      </c>
      <c r="Y23" s="85" t="str">
        <f t="shared" si="10"/>
        <v/>
      </c>
      <c r="Z23" s="83">
        <f>'Grad 1'!Z23</f>
        <v>0</v>
      </c>
      <c r="AA23" s="102">
        <f t="shared" si="11"/>
        <v>0</v>
      </c>
      <c r="AB23" s="102">
        <f t="shared" si="12"/>
        <v>5</v>
      </c>
      <c r="AC23" s="81" t="str">
        <f t="shared" si="13"/>
        <v>No</v>
      </c>
      <c r="AD23" s="101">
        <f t="shared" si="15"/>
        <v>0</v>
      </c>
      <c r="AE23" t="str">
        <f t="shared" si="16"/>
        <v>0-5</v>
      </c>
    </row>
    <row r="24" spans="1:31" ht="21" customHeight="1">
      <c r="A24" s="33" t="s">
        <v>39</v>
      </c>
      <c r="B24" s="199"/>
      <c r="C24" s="29"/>
      <c r="D24" s="29"/>
      <c r="E24" s="29"/>
      <c r="F24" s="29"/>
      <c r="G24" s="194">
        <f t="shared" ref="G24:G29" si="25">IF($M$14=100,$M24,IF($N$14=100,$N24,IF($O$14=100,$O24,IF($P$14=100,$P24,IF($Q$14=100,$Q24,IF($R$14=100,$R24,$R24))))))</f>
        <v>0.1</v>
      </c>
      <c r="H24" s="194">
        <f t="shared" si="24"/>
        <v>0</v>
      </c>
      <c r="I24" s="195">
        <f t="shared" si="17"/>
        <v>0</v>
      </c>
      <c r="J24" s="20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70</v>
      </c>
      <c r="U24" s="83">
        <f>'Grad 4'!I10</f>
        <v>0</v>
      </c>
      <c r="V24" s="83">
        <f>'Grad 4'!I27</f>
        <v>0</v>
      </c>
      <c r="W24" s="83">
        <f>'Grad 4'!I43</f>
        <v>0</v>
      </c>
      <c r="X24" s="84" t="str">
        <f t="shared" si="14"/>
        <v xml:space="preserve"> </v>
      </c>
      <c r="Y24" s="85" t="str">
        <f t="shared" si="10"/>
        <v/>
      </c>
      <c r="Z24" s="83">
        <f>'Grad 1'!Z24</f>
        <v>0</v>
      </c>
      <c r="AA24" s="102">
        <f t="shared" si="11"/>
        <v>0</v>
      </c>
      <c r="AB24" s="102">
        <f t="shared" si="12"/>
        <v>5</v>
      </c>
      <c r="AC24" s="81" t="str">
        <f t="shared" si="13"/>
        <v>No</v>
      </c>
      <c r="AD24" s="101">
        <f t="shared" si="15"/>
        <v>0</v>
      </c>
      <c r="AE24" t="str">
        <f t="shared" si="16"/>
        <v>0-5</v>
      </c>
    </row>
    <row r="25" spans="1:31" ht="21" customHeight="1">
      <c r="A25" s="33" t="s">
        <v>40</v>
      </c>
      <c r="B25" s="199"/>
      <c r="C25" s="29"/>
      <c r="D25" s="29"/>
      <c r="E25" s="29"/>
      <c r="F25" s="29"/>
      <c r="G25" s="194">
        <f t="shared" si="25"/>
        <v>0.1</v>
      </c>
      <c r="H25" s="194">
        <f t="shared" si="24"/>
        <v>0</v>
      </c>
      <c r="I25" s="195">
        <f t="shared" si="17"/>
        <v>0</v>
      </c>
      <c r="J25" s="20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71</v>
      </c>
      <c r="U25" s="83">
        <f>'Grad 4'!I11</f>
        <v>0</v>
      </c>
      <c r="V25" s="83">
        <f>'Grad 4'!I28</f>
        <v>0</v>
      </c>
      <c r="W25" s="83">
        <f>'Grad 4'!I44</f>
        <v>0</v>
      </c>
      <c r="X25" s="84" t="str">
        <f t="shared" si="14"/>
        <v xml:space="preserve"> </v>
      </c>
      <c r="Y25" s="85" t="str">
        <f t="shared" si="10"/>
        <v/>
      </c>
      <c r="Z25" s="83">
        <f>'Grad 1'!Z25</f>
        <v>0</v>
      </c>
      <c r="AA25" s="102">
        <f>IF((Z25-4)&gt;0,Z25-4,0)</f>
        <v>0</v>
      </c>
      <c r="AB25" s="102">
        <f>Z25+4</f>
        <v>4</v>
      </c>
      <c r="AC25" s="81" t="str">
        <f t="shared" si="13"/>
        <v>No</v>
      </c>
      <c r="AD25" s="101">
        <f t="shared" si="15"/>
        <v>0</v>
      </c>
      <c r="AE25" t="str">
        <f t="shared" si="16"/>
        <v>0-4</v>
      </c>
    </row>
    <row r="26" spans="1:31" ht="21" customHeight="1">
      <c r="A26" s="33" t="s">
        <v>41</v>
      </c>
      <c r="B26" s="199"/>
      <c r="C26" s="29"/>
      <c r="D26" s="29"/>
      <c r="E26" s="29"/>
      <c r="F26" s="29"/>
      <c r="G26" s="194">
        <f t="shared" si="25"/>
        <v>0.1</v>
      </c>
      <c r="H26" s="194">
        <f t="shared" si="24"/>
        <v>0</v>
      </c>
      <c r="I26" s="195">
        <f t="shared" si="17"/>
        <v>0</v>
      </c>
      <c r="J26" s="20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72</v>
      </c>
      <c r="U26" s="87">
        <f>U25-($U$25-$U$30)/5</f>
        <v>0</v>
      </c>
      <c r="V26" s="87">
        <f>V25-($V$25-$V$30)/5</f>
        <v>0</v>
      </c>
      <c r="W26" s="83">
        <f>'Grad 4'!I45</f>
        <v>0</v>
      </c>
      <c r="X26" s="84" t="str">
        <f t="shared" si="14"/>
        <v xml:space="preserve"> </v>
      </c>
      <c r="Y26" s="85" t="str">
        <f t="shared" si="10"/>
        <v/>
      </c>
      <c r="Z26" s="83">
        <f>'Grad 1'!Z26</f>
        <v>0</v>
      </c>
      <c r="AA26" s="102">
        <f>IF((Z26-4)&gt;0,Z26-4,0)</f>
        <v>0</v>
      </c>
      <c r="AB26" s="102">
        <f>Z26+4</f>
        <v>4</v>
      </c>
      <c r="AC26" s="81" t="str">
        <f t="shared" si="13"/>
        <v>No</v>
      </c>
      <c r="AD26" s="101">
        <f t="shared" si="15"/>
        <v>0</v>
      </c>
      <c r="AE26" t="str">
        <f t="shared" si="16"/>
        <v>0-4</v>
      </c>
    </row>
    <row r="27" spans="1:31" ht="21" customHeight="1">
      <c r="A27" s="33" t="s">
        <v>42</v>
      </c>
      <c r="B27" s="199"/>
      <c r="C27" s="29"/>
      <c r="D27" s="29"/>
      <c r="E27" s="29"/>
      <c r="F27" s="29"/>
      <c r="G27" s="194">
        <f t="shared" si="25"/>
        <v>0.1</v>
      </c>
      <c r="H27" s="194">
        <f t="shared" si="24"/>
        <v>0</v>
      </c>
      <c r="I27" s="195">
        <f t="shared" si="17"/>
        <v>0</v>
      </c>
      <c r="J27" s="20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73</v>
      </c>
      <c r="U27" s="87">
        <f>U26-($U$25-$U$30)/5</f>
        <v>0</v>
      </c>
      <c r="V27" s="87">
        <f>V26-($V$25-$V$30)/5</f>
        <v>0</v>
      </c>
      <c r="W27" s="83">
        <f>'Grad 4'!I46</f>
        <v>0</v>
      </c>
      <c r="X27" s="84" t="str">
        <f t="shared" si="14"/>
        <v xml:space="preserve"> </v>
      </c>
      <c r="Y27" s="85" t="str">
        <f t="shared" si="10"/>
        <v/>
      </c>
      <c r="Z27" s="83">
        <f>'Grad 1'!Z27</f>
        <v>0</v>
      </c>
      <c r="AA27" s="102">
        <f>IF((Z27-4)&gt;0,Z27-4,0)</f>
        <v>0</v>
      </c>
      <c r="AB27" s="102">
        <f>Z27+4</f>
        <v>4</v>
      </c>
      <c r="AC27" s="81" t="str">
        <f t="shared" si="13"/>
        <v>No</v>
      </c>
      <c r="AD27" s="101">
        <f t="shared" si="15"/>
        <v>0</v>
      </c>
      <c r="AE27" t="str">
        <f t="shared" si="16"/>
        <v>0-4</v>
      </c>
    </row>
    <row r="28" spans="1:31" ht="21" customHeight="1" thickBot="1">
      <c r="A28" s="33" t="s">
        <v>43</v>
      </c>
      <c r="B28" s="199"/>
      <c r="C28" s="29"/>
      <c r="D28" s="36" t="s">
        <v>27</v>
      </c>
      <c r="E28" s="29"/>
      <c r="F28" s="29"/>
      <c r="G28" s="194">
        <f t="shared" si="25"/>
        <v>0.1</v>
      </c>
      <c r="H28" s="194">
        <f t="shared" si="24"/>
        <v>0</v>
      </c>
      <c r="I28" s="195">
        <f t="shared" si="17"/>
        <v>0</v>
      </c>
      <c r="J28" s="20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74</v>
      </c>
      <c r="U28" s="87">
        <f>U27-($U$25-$U$30)/5</f>
        <v>0</v>
      </c>
      <c r="V28" s="87">
        <f>V27-($V$25-$V$30)/5</f>
        <v>0</v>
      </c>
      <c r="W28" s="83">
        <f>'Grad 4'!I47</f>
        <v>0</v>
      </c>
      <c r="X28" s="84" t="str">
        <f t="shared" si="14"/>
        <v xml:space="preserve"> </v>
      </c>
      <c r="Y28" s="85" t="str">
        <f t="shared" si="10"/>
        <v/>
      </c>
      <c r="Z28" s="83">
        <f>'Grad 1'!Z28</f>
        <v>0</v>
      </c>
      <c r="AA28" s="102">
        <f>IF((Z28-3)&gt;0,Z28-3,0)</f>
        <v>0</v>
      </c>
      <c r="AB28" s="102">
        <f>Z28+3</f>
        <v>3</v>
      </c>
      <c r="AC28" s="81" t="str">
        <f t="shared" si="13"/>
        <v>No</v>
      </c>
      <c r="AD28" s="101">
        <f t="shared" si="15"/>
        <v>0</v>
      </c>
      <c r="AE28" t="str">
        <f t="shared" si="16"/>
        <v>0-3</v>
      </c>
    </row>
    <row r="29" spans="1:31" ht="21" customHeight="1" thickBot="1">
      <c r="A29" s="33" t="s">
        <v>46</v>
      </c>
      <c r="B29" s="192"/>
      <c r="C29" s="29"/>
      <c r="D29" s="197">
        <f>IF(B29="",0,SUM(B22:B29))</f>
        <v>0</v>
      </c>
      <c r="E29" s="29"/>
      <c r="F29" s="29"/>
      <c r="G29" s="194">
        <f t="shared" si="25"/>
        <v>0.1</v>
      </c>
      <c r="H29" s="37"/>
      <c r="I29" s="37"/>
      <c r="J29" s="207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75</v>
      </c>
      <c r="U29" s="87">
        <f>U28-($U$25-$U$30)/5</f>
        <v>0</v>
      </c>
      <c r="V29" s="87">
        <f>V28-($V$25-$V$30)/5</f>
        <v>0</v>
      </c>
      <c r="W29" s="83">
        <f>'Grad 4'!I48</f>
        <v>0</v>
      </c>
      <c r="X29" s="84" t="str">
        <f t="shared" si="14"/>
        <v xml:space="preserve"> </v>
      </c>
      <c r="Y29" s="85" t="str">
        <f t="shared" si="10"/>
        <v/>
      </c>
      <c r="Z29" s="83">
        <f>'Grad 1'!Z29</f>
        <v>0</v>
      </c>
      <c r="AA29" s="102">
        <f>IF((Z29-2)&gt;0,Z29-2,0)</f>
        <v>0</v>
      </c>
      <c r="AB29" s="102">
        <f>Z29+2</f>
        <v>2</v>
      </c>
      <c r="AC29" s="81" t="str">
        <f t="shared" si="13"/>
        <v>No</v>
      </c>
      <c r="AD29" s="101">
        <f t="shared" si="15"/>
        <v>0</v>
      </c>
      <c r="AE29" t="str">
        <f t="shared" si="16"/>
        <v>0-2</v>
      </c>
    </row>
    <row r="30" spans="1:31" ht="21" customHeight="1">
      <c r="A30" s="218" t="s">
        <v>157</v>
      </c>
      <c r="B30" s="200"/>
      <c r="C30" s="37" t="s">
        <v>44</v>
      </c>
      <c r="D30" s="29"/>
      <c r="E30" s="29"/>
      <c r="F30" s="29"/>
      <c r="G30" s="194">
        <f>SUM(G22:G29)</f>
        <v>0.79999999999999993</v>
      </c>
      <c r="H30" s="196"/>
      <c r="I30" s="196"/>
      <c r="J30" s="207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4'!$I$14</f>
        <v>0</v>
      </c>
      <c r="V30" s="83">
        <f>'Grad 4'!$I$31</f>
        <v>0</v>
      </c>
      <c r="W30" s="83">
        <f>'Grad 4'!I49</f>
        <v>0</v>
      </c>
      <c r="X30" s="84" t="str">
        <f t="shared" si="14"/>
        <v xml:space="preserve"> </v>
      </c>
      <c r="Y30" s="85" t="str">
        <f t="shared" si="10"/>
        <v/>
      </c>
      <c r="Z30" s="83">
        <f>'Grad 1'!Z30</f>
        <v>2</v>
      </c>
      <c r="AA30" s="102">
        <v>0</v>
      </c>
      <c r="AB30" s="83">
        <f>Z30</f>
        <v>2</v>
      </c>
      <c r="AC30" s="81" t="str">
        <f t="shared" si="13"/>
        <v>No</v>
      </c>
      <c r="AD30" s="101">
        <f t="shared" si="15"/>
        <v>0</v>
      </c>
      <c r="AE30" t="str">
        <f t="shared" si="16"/>
        <v>0-2</v>
      </c>
    </row>
    <row r="31" spans="1:31" ht="21" customHeight="1" thickBot="1">
      <c r="A31" s="219" t="s">
        <v>158</v>
      </c>
      <c r="B31" s="201"/>
      <c r="C31" s="37" t="s">
        <v>45</v>
      </c>
      <c r="D31" s="29"/>
      <c r="E31" s="29"/>
      <c r="F31" s="29"/>
      <c r="G31" s="196"/>
      <c r="H31" s="38" t="s">
        <v>17</v>
      </c>
      <c r="I31" s="193">
        <f>ROUND(IF(B34=0,0,SUM(B34/B30)*100),1)</f>
        <v>0</v>
      </c>
      <c r="J31" s="204" t="str">
        <f>IF('Proj Info'!B52=" "," ",'Proj Info'!B52)</f>
        <v>0-2.5</v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8"/>
      <c r="U31" s="92"/>
      <c r="V31" s="92"/>
      <c r="W31" s="92"/>
      <c r="X31" s="90"/>
      <c r="Y31" s="90"/>
      <c r="Z31" s="96"/>
      <c r="AA31" s="92"/>
      <c r="AB31" s="92"/>
      <c r="AC31" s="76"/>
      <c r="AD31" s="101">
        <f>+SUM(AD19:AD30)</f>
        <v>0</v>
      </c>
      <c r="AE31" t="str">
        <f>IF(AD31=12,"Y","N")</f>
        <v>N</v>
      </c>
    </row>
    <row r="32" spans="1:31" ht="21" customHeight="1" thickTop="1">
      <c r="A32" s="33" t="s">
        <v>46</v>
      </c>
      <c r="B32" s="192"/>
      <c r="C32" s="37" t="s">
        <v>47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142</v>
      </c>
      <c r="Y32" s="170" t="str">
        <f>IF(Y19="","",((100-Y19)+(Y19-Y20)+(Y20-Y21)+(Y21-Y22)+(Y22-Y23))/((100-Y19)+(Y19-Y20)+(Y20-Y21)+(Y21-Y22)+(Y22-Y23)+(Y23-Y24)+(Y24-Y25))*100)</f>
        <v/>
      </c>
    </row>
    <row r="33" spans="1:25" ht="21" customHeight="1">
      <c r="A33" s="33" t="s">
        <v>48</v>
      </c>
      <c r="B33" s="193">
        <f>IF(B31="",0,SUM(B30-B31))</f>
        <v>0</v>
      </c>
      <c r="C33" s="37" t="s">
        <v>49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143</v>
      </c>
      <c r="Y33" s="170" t="str">
        <f>IF(Y25="","",Y25)</f>
        <v/>
      </c>
    </row>
    <row r="34" spans="1:25" ht="21" customHeight="1">
      <c r="A34" s="33" t="s">
        <v>50</v>
      </c>
      <c r="B34" s="202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29"/>
      <c r="B35" s="29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220" t="s">
        <v>160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130" t="s">
        <v>157</v>
      </c>
      <c r="B39" s="192"/>
      <c r="C39" s="557" t="s">
        <v>52</v>
      </c>
      <c r="D39" s="558"/>
      <c r="E39" s="190">
        <f>ROUND(IF(D51=0,0,SUM(D51/B39)*100),1)</f>
        <v>0</v>
      </c>
      <c r="F39" s="31" t="s">
        <v>32</v>
      </c>
      <c r="G39" s="10" t="s">
        <v>53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130" t="s">
        <v>158</v>
      </c>
      <c r="B40" s="192"/>
      <c r="C40" s="29"/>
      <c r="D40" s="562" t="str">
        <f>IF(E39&lt;5,"",IF(E39&lt;99.5,"Check Weights.",IF(E39&gt;100.5,"Check Weights","")))</f>
        <v/>
      </c>
      <c r="E40" s="563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130" t="s">
        <v>110</v>
      </c>
      <c r="B41" s="192"/>
      <c r="C41" s="29"/>
      <c r="D41" s="34"/>
      <c r="E41" s="29"/>
      <c r="F41" s="29"/>
      <c r="G41" s="193">
        <f t="shared" ref="G41:G47" si="27">IF($M$52=100,$M41,IF($N$52=100,$N41,IF($O$52=100,$O41,IF($P$52=100,$P41,IF($Q$52=100,$Q41,IF($R$52=100,$R41,$R41))))))</f>
        <v>0.1</v>
      </c>
      <c r="H41" s="193">
        <f>IF(D51=0,0,100-G41)</f>
        <v>0</v>
      </c>
      <c r="I41" s="203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</row>
    <row r="42" spans="1:25" ht="21" customHeight="1">
      <c r="A42" s="33" t="s">
        <v>41</v>
      </c>
      <c r="B42" s="192"/>
      <c r="C42" s="29"/>
      <c r="D42" s="29"/>
      <c r="E42" s="29"/>
      <c r="F42" s="29"/>
      <c r="G42" s="193">
        <f t="shared" si="27"/>
        <v>0.1</v>
      </c>
      <c r="H42" s="193">
        <f t="shared" ref="H42:H49" si="33">IF(H41=0,0,(H41-G42))</f>
        <v>0</v>
      </c>
      <c r="I42" s="203">
        <f t="shared" si="28"/>
        <v>0</v>
      </c>
      <c r="J42" s="13" t="str">
        <f>IF('Proj Info'!B53=" "," ",'Proj Info'!B53)</f>
        <v>100</v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</row>
    <row r="43" spans="1:25" ht="21" customHeight="1">
      <c r="A43" s="33" t="s">
        <v>42</v>
      </c>
      <c r="B43" s="192"/>
      <c r="C43" s="29"/>
      <c r="D43" s="29"/>
      <c r="E43" s="29"/>
      <c r="F43" s="29"/>
      <c r="G43" s="193">
        <f t="shared" si="27"/>
        <v>0.1</v>
      </c>
      <c r="H43" s="193">
        <f t="shared" si="33"/>
        <v>0</v>
      </c>
      <c r="I43" s="203">
        <f t="shared" si="28"/>
        <v>0</v>
      </c>
      <c r="J43" s="13" t="str">
        <f>IF('Proj Info'!B54=" "," ",'Proj Info'!B54)</f>
        <v>90-100</v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25" ht="21" customHeight="1">
      <c r="A44" s="33" t="s">
        <v>43</v>
      </c>
      <c r="B44" s="192"/>
      <c r="C44" s="29"/>
      <c r="D44" s="29"/>
      <c r="E44" s="29"/>
      <c r="F44" s="29"/>
      <c r="G44" s="193">
        <f t="shared" si="27"/>
        <v>0.1</v>
      </c>
      <c r="H44" s="193">
        <f t="shared" si="33"/>
        <v>0</v>
      </c>
      <c r="I44" s="203">
        <f t="shared" si="28"/>
        <v>0</v>
      </c>
      <c r="J44" s="13" t="str">
        <f>IF('Proj Info'!B55=" "," ",'Proj Info'!B55)</f>
        <v>70-100</v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25" ht="21" customHeight="1">
      <c r="A45" s="33" t="s">
        <v>76</v>
      </c>
      <c r="B45" s="192"/>
      <c r="C45" s="29"/>
      <c r="D45" s="29"/>
      <c r="E45" s="29"/>
      <c r="F45" s="29"/>
      <c r="G45" s="193">
        <f t="shared" si="27"/>
        <v>0.1</v>
      </c>
      <c r="H45" s="193">
        <f t="shared" si="33"/>
        <v>0</v>
      </c>
      <c r="I45" s="203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25" ht="21" customHeight="1">
      <c r="A46" s="33" t="s">
        <v>77</v>
      </c>
      <c r="B46" s="192"/>
      <c r="C46" s="29"/>
      <c r="D46" s="29"/>
      <c r="E46" s="29"/>
      <c r="F46" s="29"/>
      <c r="G46" s="193">
        <f t="shared" si="27"/>
        <v>0.1</v>
      </c>
      <c r="H46" s="193">
        <f t="shared" si="33"/>
        <v>0</v>
      </c>
      <c r="I46" s="203">
        <f t="shared" si="28"/>
        <v>0</v>
      </c>
      <c r="J46" s="13" t="str">
        <f>IF('Proj Info'!B56=" "," ",'Proj Info'!B56)</f>
        <v>10-60</v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25" ht="21" customHeight="1">
      <c r="A47" s="33" t="s">
        <v>78</v>
      </c>
      <c r="B47" s="192"/>
      <c r="C47" s="29"/>
      <c r="D47" s="29"/>
      <c r="E47" s="29"/>
      <c r="F47" s="29"/>
      <c r="G47" s="193">
        <f t="shared" si="27"/>
        <v>0.1</v>
      </c>
      <c r="H47" s="193">
        <f t="shared" si="33"/>
        <v>0</v>
      </c>
      <c r="I47" s="203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25" ht="21" customHeight="1">
      <c r="A48" s="33" t="s">
        <v>79</v>
      </c>
      <c r="B48" s="192"/>
      <c r="C48" s="29"/>
      <c r="D48" s="29"/>
      <c r="E48" s="29"/>
      <c r="F48" s="29"/>
      <c r="G48" s="193">
        <f>IF($M$52=100,$M48,IF($N$52=100,$N48,IF($O$52=100,$O48,IF($P$52=100,$P48,IF($Q$52=100,$Q48,IF($R$52=100,$R48,$R48))))))</f>
        <v>0.1</v>
      </c>
      <c r="H48" s="193">
        <f t="shared" si="33"/>
        <v>0</v>
      </c>
      <c r="I48" s="203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80</v>
      </c>
      <c r="B49" s="192"/>
      <c r="C49" s="29"/>
      <c r="D49" s="29"/>
      <c r="E49" s="29"/>
      <c r="F49" s="29"/>
      <c r="G49" s="193">
        <f>IF($M$52=100,$M49,IF($N$52=100,$N49,IF($O$52=100,$O49,IF($P$52=100,$P49,IF($Q$52=100,$Q49,IF($R$52=100,$R49,$R49))))))</f>
        <v>0.1</v>
      </c>
      <c r="H49" s="193">
        <f t="shared" si="33"/>
        <v>0</v>
      </c>
      <c r="I49" s="203">
        <f t="shared" si="28"/>
        <v>0</v>
      </c>
      <c r="J49" s="13" t="str">
        <f>IF('Proj Info'!B57=" "," ",'Proj Info'!B57)</f>
        <v>0-1.5</v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54</v>
      </c>
      <c r="B50" s="192"/>
      <c r="C50" s="29"/>
      <c r="D50" s="36" t="s">
        <v>27</v>
      </c>
      <c r="E50" s="29"/>
      <c r="F50" s="29"/>
      <c r="G50" s="193">
        <f>IF($M$52=100,$M50,IF($N$52=100,$N50,IF($O$52=100,$O50,IF($P$52=100,$P50,IF($Q$52=100,$Q50,IF($R$52=100,$R50,$R50))))))</f>
        <v>0.1</v>
      </c>
      <c r="H50" s="189"/>
      <c r="I50" s="189"/>
      <c r="J50" s="189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55</v>
      </c>
      <c r="B51" s="193">
        <f>IF(B40="",0,SUM(B39-B40))</f>
        <v>0</v>
      </c>
      <c r="C51" s="29"/>
      <c r="D51" s="191">
        <f>IF(B50="",0,SUM(B41:B51))</f>
        <v>0</v>
      </c>
      <c r="E51" s="29"/>
      <c r="F51" s="29"/>
      <c r="G51" s="193">
        <f>IF(G50="",0,SUM(G41:G50))</f>
        <v>0.99999999999999989</v>
      </c>
      <c r="H51" s="189"/>
      <c r="I51" s="189"/>
      <c r="J51" s="189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161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n8cULpe231YuWr/9Wgm9gxJWNx2HU+2dmPpFmQBMIJY4PbYKXneYF2KiIH+Te7V//l7ynMqkPpU7AA9i4sQpQA==" saltValue="j053X8H7JP7xnfRAhE0aTA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E52"/>
  <sheetViews>
    <sheetView defaultGridColor="0" view="pageBreakPreview" topLeftCell="A7" colorId="22" zoomScale="75" zoomScaleNormal="60" workbookViewId="0">
      <pane xSplit="1" topLeftCell="B1" activePane="topRight" state="frozen"/>
      <selection pane="topRight" activeCell="B35" sqref="B35"/>
    </sheetView>
  </sheetViews>
  <sheetFormatPr defaultColWidth="9.77734375" defaultRowHeight="15"/>
  <cols>
    <col min="1" max="1" width="15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476</v>
      </c>
      <c r="B1" s="518"/>
    </row>
    <row r="2" spans="1:29" ht="21" customHeight="1">
      <c r="A2" s="44" t="s">
        <v>159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160</v>
      </c>
      <c r="B3" s="223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17" t="s">
        <v>157</v>
      </c>
      <c r="B4" s="198"/>
      <c r="C4" s="557" t="s">
        <v>31</v>
      </c>
      <c r="D4" s="561"/>
      <c r="E4" s="190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147</v>
      </c>
      <c r="U4" s="45"/>
      <c r="V4" s="45"/>
      <c r="W4" s="45"/>
      <c r="Y4" s="48" t="s">
        <v>85</v>
      </c>
      <c r="Z4" s="45"/>
    </row>
    <row r="5" spans="1:29" ht="21" customHeight="1" thickTop="1">
      <c r="A5" s="33" t="s">
        <v>37</v>
      </c>
      <c r="B5" s="199"/>
      <c r="C5" s="29"/>
      <c r="D5" s="562" t="str">
        <f>IF(E4&lt;5,"",IF(E4&lt;99.5,"Check Weights.",IF(E4&gt;100.5,"Check Weights","")))</f>
        <v/>
      </c>
      <c r="E5" s="563"/>
      <c r="F5" s="29"/>
      <c r="G5" s="194">
        <f t="shared" ref="G5:G12" si="0">IF($M$14=100,$M5,IF($N$14=100,$N5,IF($O$14=100,$O5,IF($P$14=100,$P5,IF($Q$14=100,$Q5,IF($R$14=100,$R5,$R5))))))</f>
        <v>0.1</v>
      </c>
      <c r="H5" s="194">
        <f>IF(D12=0,0,100)</f>
        <v>0</v>
      </c>
      <c r="I5" s="195">
        <f t="shared" ref="I5:I11" si="1">IF(H5&gt;9.9,ROUND(H5,0),ROUND(H5,1))</f>
        <v>0</v>
      </c>
      <c r="J5" s="13" t="str">
        <f>IF('Proj Info'!B39=" "," ",'Proj Info'!B39)</f>
        <v>100</v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86</v>
      </c>
      <c r="U5" s="50"/>
      <c r="V5" s="50"/>
      <c r="W5" s="51"/>
      <c r="X5" s="52"/>
      <c r="Y5" s="52">
        <f>'HPC-D Mix'!D32</f>
        <v>0</v>
      </c>
      <c r="Z5" s="53" t="e">
        <f>Y5/(SUM($Y$5:$Y$7))</f>
        <v>#DIV/0!</v>
      </c>
    </row>
    <row r="6" spans="1:29" ht="21" customHeight="1">
      <c r="A6" s="33" t="s">
        <v>38</v>
      </c>
      <c r="B6" s="199"/>
      <c r="C6" s="29"/>
      <c r="D6" s="31"/>
      <c r="E6" s="29"/>
      <c r="F6" s="29"/>
      <c r="G6" s="194">
        <f t="shared" si="0"/>
        <v>0.1</v>
      </c>
      <c r="H6" s="194">
        <f t="shared" ref="H6:H11" si="8">IF(H5=0,0,(H5-G6))</f>
        <v>0</v>
      </c>
      <c r="I6" s="195">
        <f t="shared" si="1"/>
        <v>0</v>
      </c>
      <c r="J6" s="13" t="str">
        <f>IF('Proj Info'!B40=" "," ",'Proj Info'!B40)</f>
        <v>95-100</v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87</v>
      </c>
      <c r="U6" s="55"/>
      <c r="V6" s="55"/>
      <c r="W6" s="56"/>
      <c r="X6" s="57"/>
      <c r="Y6" s="58">
        <f>'HPC-D Mix'!D33</f>
        <v>0</v>
      </c>
      <c r="Z6" s="59" t="e">
        <f>Y6/(SUM($Y$5:$Y$7))</f>
        <v>#DIV/0!</v>
      </c>
    </row>
    <row r="7" spans="1:29" ht="21" customHeight="1" thickBot="1">
      <c r="A7" s="33" t="s">
        <v>39</v>
      </c>
      <c r="B7" s="199"/>
      <c r="C7" s="29"/>
      <c r="D7" s="29"/>
      <c r="E7" s="29"/>
      <c r="F7" s="29"/>
      <c r="G7" s="194">
        <f t="shared" si="0"/>
        <v>0.1</v>
      </c>
      <c r="H7" s="194">
        <f t="shared" si="8"/>
        <v>0</v>
      </c>
      <c r="I7" s="195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88</v>
      </c>
      <c r="U7" s="61"/>
      <c r="V7" s="61"/>
      <c r="W7" s="62"/>
      <c r="X7" s="63"/>
      <c r="Y7" s="64">
        <f>'HPC-D Mix'!D34</f>
        <v>0</v>
      </c>
      <c r="Z7" s="65" t="e">
        <f>Y7/(SUM($Y$5:Y$7))</f>
        <v>#DIV/0!</v>
      </c>
    </row>
    <row r="8" spans="1:29" ht="21" customHeight="1" thickTop="1">
      <c r="A8" s="33" t="s">
        <v>40</v>
      </c>
      <c r="B8" s="199"/>
      <c r="C8" s="29"/>
      <c r="D8" s="29"/>
      <c r="E8" s="29"/>
      <c r="F8" s="29"/>
      <c r="G8" s="194">
        <f t="shared" si="0"/>
        <v>0.1</v>
      </c>
      <c r="H8" s="194">
        <f t="shared" si="8"/>
        <v>0</v>
      </c>
      <c r="I8" s="195">
        <f t="shared" si="1"/>
        <v>0</v>
      </c>
      <c r="J8" s="13" t="str">
        <f>IF('Proj Info'!B42=" "," ",'Proj Info'!B42)</f>
        <v>25-60</v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41</v>
      </c>
      <c r="B9" s="199"/>
      <c r="C9" s="29"/>
      <c r="D9" s="29"/>
      <c r="E9" s="29"/>
      <c r="F9" s="29"/>
      <c r="G9" s="194">
        <f t="shared" si="0"/>
        <v>0.1</v>
      </c>
      <c r="H9" s="194">
        <f t="shared" si="8"/>
        <v>0</v>
      </c>
      <c r="I9" s="195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42</v>
      </c>
      <c r="B10" s="199"/>
      <c r="C10" s="29"/>
      <c r="D10" s="29"/>
      <c r="E10" s="29"/>
      <c r="F10" s="29"/>
      <c r="G10" s="194">
        <f t="shared" si="0"/>
        <v>0.1</v>
      </c>
      <c r="H10" s="194">
        <f t="shared" si="8"/>
        <v>0</v>
      </c>
      <c r="I10" s="195">
        <f t="shared" si="1"/>
        <v>0</v>
      </c>
      <c r="J10" s="13" t="str">
        <f>IF('Proj Info'!B44=" "," ",'Proj Info'!B44)</f>
        <v>0-10</v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43</v>
      </c>
      <c r="B11" s="199"/>
      <c r="C11" s="29"/>
      <c r="D11" s="36" t="s">
        <v>27</v>
      </c>
      <c r="E11" s="29"/>
      <c r="F11" s="29"/>
      <c r="G11" s="194">
        <f t="shared" si="0"/>
        <v>0.1</v>
      </c>
      <c r="H11" s="194">
        <f t="shared" si="8"/>
        <v>0</v>
      </c>
      <c r="I11" s="195">
        <f t="shared" si="1"/>
        <v>0</v>
      </c>
      <c r="J11" s="13" t="str">
        <f>IF('Proj Info'!B45=" "," ",'Proj Info'!B45)</f>
        <v>0-5</v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46</v>
      </c>
      <c r="B12" s="192"/>
      <c r="C12" s="29"/>
      <c r="D12" s="197">
        <f>IF(B12="",0,SUM(B5:B12))</f>
        <v>0</v>
      </c>
      <c r="E12" s="29"/>
      <c r="F12" s="29"/>
      <c r="G12" s="194">
        <f t="shared" si="0"/>
        <v>0.1</v>
      </c>
      <c r="H12" s="37"/>
      <c r="I12" s="37"/>
      <c r="J12" s="221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141</v>
      </c>
      <c r="U12" s="45"/>
      <c r="V12" s="45"/>
      <c r="W12" s="45"/>
      <c r="X12" s="48"/>
      <c r="Y12" s="48"/>
      <c r="Z12" s="45"/>
      <c r="AA12" s="93"/>
      <c r="AB12" s="93"/>
      <c r="AC12" s="94"/>
    </row>
    <row r="13" spans="1:29" ht="21" customHeight="1" thickBot="1">
      <c r="A13" s="218" t="s">
        <v>157</v>
      </c>
      <c r="B13" s="200"/>
      <c r="C13" s="37" t="s">
        <v>44</v>
      </c>
      <c r="D13" s="29"/>
      <c r="E13" s="29"/>
      <c r="F13" s="29"/>
      <c r="G13" s="194">
        <f>SUM(G5:G12)</f>
        <v>0.79999999999999993</v>
      </c>
      <c r="H13" s="196"/>
      <c r="I13" s="196"/>
      <c r="J13" s="221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5"/>
      <c r="Y13" s="95"/>
      <c r="Z13" s="66"/>
      <c r="AA13" s="66"/>
      <c r="AB13" s="66"/>
      <c r="AC13" s="2"/>
    </row>
    <row r="14" spans="1:29" ht="21" customHeight="1" thickTop="1">
      <c r="A14" s="219" t="s">
        <v>158</v>
      </c>
      <c r="B14" s="201"/>
      <c r="C14" s="37" t="s">
        <v>45</v>
      </c>
      <c r="D14" s="29"/>
      <c r="E14" s="29"/>
      <c r="F14" s="29"/>
      <c r="G14" s="196"/>
      <c r="H14" s="38" t="s">
        <v>17</v>
      </c>
      <c r="I14" s="193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89</v>
      </c>
      <c r="Z14" s="68" t="s">
        <v>90</v>
      </c>
      <c r="AA14" s="68" t="s">
        <v>90</v>
      </c>
      <c r="AB14" s="68" t="s">
        <v>90</v>
      </c>
      <c r="AC14" s="69"/>
    </row>
    <row r="15" spans="1:29" ht="21" customHeight="1">
      <c r="A15" s="33" t="s">
        <v>46</v>
      </c>
      <c r="B15" s="192"/>
      <c r="C15" s="37" t="s">
        <v>47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91</v>
      </c>
      <c r="U15" s="71" t="s">
        <v>16</v>
      </c>
      <c r="V15" s="71" t="s">
        <v>16</v>
      </c>
      <c r="W15" s="71" t="s">
        <v>16</v>
      </c>
      <c r="X15" s="71"/>
      <c r="Y15" s="71" t="s">
        <v>92</v>
      </c>
      <c r="Z15" s="71" t="s">
        <v>93</v>
      </c>
      <c r="AA15" s="71" t="s">
        <v>94</v>
      </c>
      <c r="AB15" s="71" t="s">
        <v>95</v>
      </c>
      <c r="AC15" s="72" t="s">
        <v>96</v>
      </c>
    </row>
    <row r="16" spans="1:29" ht="21" customHeight="1">
      <c r="A16" s="33" t="s">
        <v>48</v>
      </c>
      <c r="B16" s="193">
        <f>IF(B14="",0,SUM(B13-B14))</f>
        <v>0</v>
      </c>
      <c r="C16" s="37" t="s">
        <v>49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97</v>
      </c>
      <c r="U16" s="71" t="s">
        <v>83</v>
      </c>
      <c r="V16" s="71" t="s">
        <v>83</v>
      </c>
      <c r="W16" s="71" t="s">
        <v>83</v>
      </c>
      <c r="X16" s="71"/>
      <c r="Y16" s="71" t="s">
        <v>98</v>
      </c>
      <c r="Z16" s="71" t="s">
        <v>98</v>
      </c>
      <c r="AA16" s="71" t="s">
        <v>98</v>
      </c>
      <c r="AB16" s="71" t="s">
        <v>98</v>
      </c>
      <c r="AC16" s="73" t="s">
        <v>93</v>
      </c>
    </row>
    <row r="17" spans="1:31" ht="21" customHeight="1" thickBot="1">
      <c r="A17" s="33" t="s">
        <v>50</v>
      </c>
      <c r="B17" s="202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99</v>
      </c>
      <c r="V17" s="75" t="s">
        <v>99</v>
      </c>
      <c r="W17" s="75" t="s">
        <v>99</v>
      </c>
      <c r="X17" s="75"/>
      <c r="Y17" s="75" t="s">
        <v>99</v>
      </c>
      <c r="Z17" s="75" t="s">
        <v>99</v>
      </c>
      <c r="AA17" s="75" t="s">
        <v>99</v>
      </c>
      <c r="AB17" s="75" t="s">
        <v>99</v>
      </c>
      <c r="AC17" s="76"/>
    </row>
    <row r="18" spans="1:31" ht="21" customHeight="1" thickTop="1">
      <c r="A18" s="33" t="s">
        <v>161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100</v>
      </c>
      <c r="U19" s="83">
        <f>'Grad 5'!I5</f>
        <v>0</v>
      </c>
      <c r="V19" s="83">
        <f>'Grad 5'!I22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85" t="str">
        <f t="shared" ref="Y19:Y30" si="10">IF(ISNUMBER(X19),((IF(X19&gt;9.9,ROUND(X19,0),ROUND(X19,1)))),"")</f>
        <v/>
      </c>
      <c r="Z19" s="83">
        <f>'Grad 1'!Z19</f>
        <v>100</v>
      </c>
      <c r="AA19" s="102">
        <f t="shared" ref="AA19:AA24" si="11">IF((Z19-5)&gt;0,Z19-5,0)</f>
        <v>95</v>
      </c>
      <c r="AB19" s="102">
        <f t="shared" ref="AB19:AB24" si="12">IF(Z19+5&gt;100,100,Z19+5)</f>
        <v>100</v>
      </c>
      <c r="AC19" s="81" t="str">
        <f t="shared" ref="AC19:AC30" si="13">IF(AND(AA19&lt;=X19,X19&lt;=AB19),"Yes","No")</f>
        <v>No</v>
      </c>
      <c r="AD19" s="101">
        <f>IF(AC19="YES",1,0)</f>
        <v>0</v>
      </c>
      <c r="AE19" t="str">
        <f>CONCATENATE(AA19,"-",AB19)</f>
        <v>95-100</v>
      </c>
    </row>
    <row r="20" spans="1:31" ht="21" customHeight="1">
      <c r="A20" s="25" t="s">
        <v>160</v>
      </c>
      <c r="B20" s="26"/>
      <c r="C20" s="27"/>
      <c r="D20" s="28"/>
      <c r="E20" s="29"/>
      <c r="F20" s="29"/>
      <c r="G20" s="10" t="s">
        <v>51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66</v>
      </c>
      <c r="U20" s="83">
        <f>'Grad 5'!I6</f>
        <v>0</v>
      </c>
      <c r="V20" s="83">
        <f>'Grad 5'!I23</f>
        <v>0</v>
      </c>
      <c r="W20" s="83">
        <v>100</v>
      </c>
      <c r="X20" s="84" t="str">
        <f t="shared" ref="X20:X30" si="14">IF($B$4=0," ",IF($B$20=" ",U20*$Z$5+W20*$Z$7,U20*$Z$5+V20*$Z$6+W20*Z$7))</f>
        <v xml:space="preserve"> </v>
      </c>
      <c r="Y20" s="85" t="str">
        <f t="shared" si="10"/>
        <v/>
      </c>
      <c r="Z20" s="83">
        <f>'Grad 1'!Z20</f>
        <v>0</v>
      </c>
      <c r="AA20" s="102">
        <f t="shared" si="11"/>
        <v>0</v>
      </c>
      <c r="AB20" s="102">
        <f t="shared" si="12"/>
        <v>5</v>
      </c>
      <c r="AC20" s="81" t="str">
        <f t="shared" si="13"/>
        <v>No</v>
      </c>
      <c r="AD20" s="101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217" t="s">
        <v>157</v>
      </c>
      <c r="B21" s="198"/>
      <c r="C21" s="557" t="s">
        <v>31</v>
      </c>
      <c r="D21" s="561"/>
      <c r="E21" s="190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67</v>
      </c>
      <c r="U21" s="83">
        <f>'Grad 5'!I7</f>
        <v>0</v>
      </c>
      <c r="V21" s="83">
        <f>'Grad 5'!I24</f>
        <v>0</v>
      </c>
      <c r="W21" s="83">
        <v>100</v>
      </c>
      <c r="X21" s="84" t="str">
        <f t="shared" si="14"/>
        <v xml:space="preserve"> </v>
      </c>
      <c r="Y21" s="85" t="str">
        <f t="shared" si="10"/>
        <v/>
      </c>
      <c r="Z21" s="83">
        <f>'Grad 1'!Z21</f>
        <v>0</v>
      </c>
      <c r="AA21" s="102">
        <f t="shared" si="11"/>
        <v>0</v>
      </c>
      <c r="AB21" s="102">
        <f t="shared" si="12"/>
        <v>5</v>
      </c>
      <c r="AC21" s="81" t="str">
        <f t="shared" si="13"/>
        <v>No</v>
      </c>
      <c r="AD21" s="101">
        <f t="shared" si="15"/>
        <v>0</v>
      </c>
      <c r="AE21" t="str">
        <f t="shared" si="16"/>
        <v>0-5</v>
      </c>
    </row>
    <row r="22" spans="1:31" ht="21" customHeight="1">
      <c r="A22" s="33" t="s">
        <v>37</v>
      </c>
      <c r="B22" s="199"/>
      <c r="C22" s="29"/>
      <c r="D22" s="562" t="str">
        <f>IF(E21&lt;5,"",IF(E21&lt;99.5,"Check Weights.",IF(E21&gt;100.5,"Check Weights","")))</f>
        <v/>
      </c>
      <c r="E22" s="563"/>
      <c r="F22" s="29"/>
      <c r="G22" s="194">
        <f>IF($M$22=100,$M22,IF($N$22=100,$N22,IF($O$22=100,$O22,IF($P$22=100,$P22,IF($Q$22=100,$Q22,IF($R$22=100,$R22,$R22))))))</f>
        <v>0.1</v>
      </c>
      <c r="H22" s="194">
        <f>IF(D29=0,0,100)</f>
        <v>0</v>
      </c>
      <c r="I22" s="195">
        <f t="shared" ref="I22:I28" si="17">IF(H22&gt;9.9,ROUND(H22,0),ROUND(H22,1))</f>
        <v>0</v>
      </c>
      <c r="J22" s="204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T22" s="82" t="s">
        <v>68</v>
      </c>
      <c r="U22" s="83">
        <f>'Grad 5'!I8</f>
        <v>0</v>
      </c>
      <c r="V22" s="83">
        <f>'Grad 5'!I25</f>
        <v>0</v>
      </c>
      <c r="W22" s="83">
        <f>'Grad 5'!I41</f>
        <v>0</v>
      </c>
      <c r="X22" s="84" t="str">
        <f t="shared" si="14"/>
        <v xml:space="preserve"> </v>
      </c>
      <c r="Y22" s="85" t="str">
        <f t="shared" si="10"/>
        <v/>
      </c>
      <c r="Z22" s="83">
        <f>'Grad 1'!Z22</f>
        <v>0</v>
      </c>
      <c r="AA22" s="102">
        <f t="shared" si="11"/>
        <v>0</v>
      </c>
      <c r="AB22" s="102">
        <f t="shared" si="12"/>
        <v>5</v>
      </c>
      <c r="AC22" s="81" t="str">
        <f t="shared" si="13"/>
        <v>No</v>
      </c>
      <c r="AD22" s="101">
        <f t="shared" si="15"/>
        <v>0</v>
      </c>
      <c r="AE22" t="str">
        <f t="shared" si="16"/>
        <v>0-5</v>
      </c>
    </row>
    <row r="23" spans="1:31" ht="21" customHeight="1">
      <c r="A23" s="33" t="s">
        <v>38</v>
      </c>
      <c r="B23" s="199"/>
      <c r="C23" s="29"/>
      <c r="D23" s="31"/>
      <c r="E23" s="29"/>
      <c r="F23" s="29"/>
      <c r="G23" s="194">
        <f>IF($M$23=100,$M23,IF($N$23=100,$N23,IF($O$23=100,$O23,IF($P$23=100,$P23,IF($Q$23=100,$Q23,IF($R$23=100,$R23,$R23))))))</f>
        <v>0.1</v>
      </c>
      <c r="H23" s="194">
        <f t="shared" ref="H23:H28" si="24">IF(H22=0,0,(H22-G23))</f>
        <v>0</v>
      </c>
      <c r="I23" s="195">
        <f t="shared" si="17"/>
        <v>0</v>
      </c>
      <c r="J23" s="204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T23" s="82" t="s">
        <v>69</v>
      </c>
      <c r="U23" s="83">
        <f>'Grad 5'!I9</f>
        <v>0</v>
      </c>
      <c r="V23" s="83">
        <f>'Grad 5'!I26</f>
        <v>0</v>
      </c>
      <c r="W23" s="83">
        <f>'Grad 5'!I42</f>
        <v>0</v>
      </c>
      <c r="X23" s="84" t="str">
        <f t="shared" si="14"/>
        <v xml:space="preserve"> </v>
      </c>
      <c r="Y23" s="85" t="str">
        <f t="shared" si="10"/>
        <v/>
      </c>
      <c r="Z23" s="83">
        <f>'Grad 1'!Z23</f>
        <v>0</v>
      </c>
      <c r="AA23" s="102">
        <f t="shared" si="11"/>
        <v>0</v>
      </c>
      <c r="AB23" s="102">
        <f t="shared" si="12"/>
        <v>5</v>
      </c>
      <c r="AC23" s="81" t="str">
        <f t="shared" si="13"/>
        <v>No</v>
      </c>
      <c r="AD23" s="101">
        <f t="shared" si="15"/>
        <v>0</v>
      </c>
      <c r="AE23" t="str">
        <f t="shared" si="16"/>
        <v>0-5</v>
      </c>
    </row>
    <row r="24" spans="1:31" ht="21" customHeight="1">
      <c r="A24" s="33" t="s">
        <v>39</v>
      </c>
      <c r="B24" s="199"/>
      <c r="C24" s="29"/>
      <c r="D24" s="29"/>
      <c r="E24" s="29"/>
      <c r="F24" s="29"/>
      <c r="G24" s="194">
        <f t="shared" ref="G24:G29" si="25">IF($M$14=100,$M24,IF($N$14=100,$N24,IF($O$14=100,$O24,IF($P$14=100,$P24,IF($Q$14=100,$Q24,IF($R$14=100,$R24,$R24))))))</f>
        <v>0.1</v>
      </c>
      <c r="H24" s="194">
        <f t="shared" si="24"/>
        <v>0</v>
      </c>
      <c r="I24" s="195">
        <f t="shared" si="17"/>
        <v>0</v>
      </c>
      <c r="J24" s="20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70</v>
      </c>
      <c r="U24" s="83">
        <f>'Grad 5'!I10</f>
        <v>0</v>
      </c>
      <c r="V24" s="83">
        <f>'Grad 5'!I27</f>
        <v>0</v>
      </c>
      <c r="W24" s="83">
        <f>'Grad 5'!I43</f>
        <v>0</v>
      </c>
      <c r="X24" s="84" t="str">
        <f t="shared" si="14"/>
        <v xml:space="preserve"> </v>
      </c>
      <c r="Y24" s="85" t="str">
        <f t="shared" si="10"/>
        <v/>
      </c>
      <c r="Z24" s="83">
        <f>'Grad 1'!Z24</f>
        <v>0</v>
      </c>
      <c r="AA24" s="102">
        <f t="shared" si="11"/>
        <v>0</v>
      </c>
      <c r="AB24" s="102">
        <f t="shared" si="12"/>
        <v>5</v>
      </c>
      <c r="AC24" s="81" t="str">
        <f t="shared" si="13"/>
        <v>No</v>
      </c>
      <c r="AD24" s="101">
        <f t="shared" si="15"/>
        <v>0</v>
      </c>
      <c r="AE24" t="str">
        <f t="shared" si="16"/>
        <v>0-5</v>
      </c>
    </row>
    <row r="25" spans="1:31" ht="21" customHeight="1">
      <c r="A25" s="33" t="s">
        <v>40</v>
      </c>
      <c r="B25" s="199"/>
      <c r="C25" s="29"/>
      <c r="D25" s="29"/>
      <c r="E25" s="29"/>
      <c r="F25" s="29"/>
      <c r="G25" s="194">
        <f t="shared" si="25"/>
        <v>0.1</v>
      </c>
      <c r="H25" s="194">
        <f t="shared" si="24"/>
        <v>0</v>
      </c>
      <c r="I25" s="195">
        <f t="shared" si="17"/>
        <v>0</v>
      </c>
      <c r="J25" s="20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71</v>
      </c>
      <c r="U25" s="83">
        <f>'Grad 5'!I11</f>
        <v>0</v>
      </c>
      <c r="V25" s="83">
        <f>'Grad 5'!I28</f>
        <v>0</v>
      </c>
      <c r="W25" s="83">
        <f>'Grad 5'!I44</f>
        <v>0</v>
      </c>
      <c r="X25" s="84" t="str">
        <f t="shared" si="14"/>
        <v xml:space="preserve"> </v>
      </c>
      <c r="Y25" s="85" t="str">
        <f t="shared" si="10"/>
        <v/>
      </c>
      <c r="Z25" s="83">
        <f>'Grad 1'!Z25</f>
        <v>0</v>
      </c>
      <c r="AA25" s="102">
        <f>IF((Z25-4)&gt;0,Z25-4,0)</f>
        <v>0</v>
      </c>
      <c r="AB25" s="102">
        <f>Z25+4</f>
        <v>4</v>
      </c>
      <c r="AC25" s="81" t="str">
        <f t="shared" si="13"/>
        <v>No</v>
      </c>
      <c r="AD25" s="101">
        <f t="shared" si="15"/>
        <v>0</v>
      </c>
      <c r="AE25" t="str">
        <f t="shared" si="16"/>
        <v>0-4</v>
      </c>
    </row>
    <row r="26" spans="1:31" ht="21" customHeight="1">
      <c r="A26" s="33" t="s">
        <v>41</v>
      </c>
      <c r="B26" s="199"/>
      <c r="C26" s="29"/>
      <c r="D26" s="29"/>
      <c r="E26" s="29"/>
      <c r="F26" s="29"/>
      <c r="G26" s="194">
        <f t="shared" si="25"/>
        <v>0.1</v>
      </c>
      <c r="H26" s="194">
        <f t="shared" si="24"/>
        <v>0</v>
      </c>
      <c r="I26" s="195">
        <f t="shared" si="17"/>
        <v>0</v>
      </c>
      <c r="J26" s="20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72</v>
      </c>
      <c r="U26" s="87">
        <f>U25-($U$25-$U$30)/5</f>
        <v>0</v>
      </c>
      <c r="V26" s="87">
        <f>V25-($V$25-$V$30)/5</f>
        <v>0</v>
      </c>
      <c r="W26" s="83">
        <f>'Grad 5'!I45</f>
        <v>0</v>
      </c>
      <c r="X26" s="84" t="str">
        <f t="shared" si="14"/>
        <v xml:space="preserve"> </v>
      </c>
      <c r="Y26" s="85" t="str">
        <f t="shared" si="10"/>
        <v/>
      </c>
      <c r="Z26" s="83">
        <f>'Grad 1'!Z26</f>
        <v>0</v>
      </c>
      <c r="AA26" s="102">
        <f>IF((Z26-4)&gt;0,Z26-4,0)</f>
        <v>0</v>
      </c>
      <c r="AB26" s="102">
        <f>Z26+4</f>
        <v>4</v>
      </c>
      <c r="AC26" s="81" t="str">
        <f t="shared" si="13"/>
        <v>No</v>
      </c>
      <c r="AD26" s="101">
        <f t="shared" si="15"/>
        <v>0</v>
      </c>
      <c r="AE26" t="str">
        <f t="shared" si="16"/>
        <v>0-4</v>
      </c>
    </row>
    <row r="27" spans="1:31" ht="21" customHeight="1">
      <c r="A27" s="33" t="s">
        <v>42</v>
      </c>
      <c r="B27" s="199"/>
      <c r="C27" s="29"/>
      <c r="D27" s="29"/>
      <c r="E27" s="29"/>
      <c r="F27" s="29"/>
      <c r="G27" s="194">
        <f t="shared" si="25"/>
        <v>0.1</v>
      </c>
      <c r="H27" s="194">
        <f t="shared" si="24"/>
        <v>0</v>
      </c>
      <c r="I27" s="195">
        <f t="shared" si="17"/>
        <v>0</v>
      </c>
      <c r="J27" s="20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73</v>
      </c>
      <c r="U27" s="87">
        <f>U26-($U$25-$U$30)/5</f>
        <v>0</v>
      </c>
      <c r="V27" s="87">
        <f>V26-($V$25-$V$30)/5</f>
        <v>0</v>
      </c>
      <c r="W27" s="83">
        <f>'Grad 5'!I46</f>
        <v>0</v>
      </c>
      <c r="X27" s="84" t="str">
        <f t="shared" si="14"/>
        <v xml:space="preserve"> </v>
      </c>
      <c r="Y27" s="85" t="str">
        <f t="shared" si="10"/>
        <v/>
      </c>
      <c r="Z27" s="83">
        <f>'Grad 1'!Z27</f>
        <v>0</v>
      </c>
      <c r="AA27" s="102">
        <f>IF((Z27-4)&gt;0,Z27-4,0)</f>
        <v>0</v>
      </c>
      <c r="AB27" s="102">
        <f>Z27+4</f>
        <v>4</v>
      </c>
      <c r="AC27" s="81" t="str">
        <f t="shared" si="13"/>
        <v>No</v>
      </c>
      <c r="AD27" s="101">
        <f t="shared" si="15"/>
        <v>0</v>
      </c>
      <c r="AE27" t="str">
        <f t="shared" si="16"/>
        <v>0-4</v>
      </c>
    </row>
    <row r="28" spans="1:31" ht="21" customHeight="1" thickBot="1">
      <c r="A28" s="33" t="s">
        <v>43</v>
      </c>
      <c r="B28" s="199"/>
      <c r="C28" s="29"/>
      <c r="D28" s="36" t="s">
        <v>27</v>
      </c>
      <c r="E28" s="29"/>
      <c r="F28" s="29"/>
      <c r="G28" s="194">
        <f t="shared" si="25"/>
        <v>0.1</v>
      </c>
      <c r="H28" s="194">
        <f t="shared" si="24"/>
        <v>0</v>
      </c>
      <c r="I28" s="195">
        <f t="shared" si="17"/>
        <v>0</v>
      </c>
      <c r="J28" s="20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74</v>
      </c>
      <c r="U28" s="87">
        <f>U27-($U$25-$U$30)/5</f>
        <v>0</v>
      </c>
      <c r="V28" s="87">
        <f>V27-($V$25-$V$30)/5</f>
        <v>0</v>
      </c>
      <c r="W28" s="83">
        <f>'Grad 5'!I47</f>
        <v>0</v>
      </c>
      <c r="X28" s="84" t="str">
        <f t="shared" si="14"/>
        <v xml:space="preserve"> </v>
      </c>
      <c r="Y28" s="85" t="str">
        <f t="shared" si="10"/>
        <v/>
      </c>
      <c r="Z28" s="83">
        <f>'Grad 1'!Z28</f>
        <v>0</v>
      </c>
      <c r="AA28" s="102">
        <f>IF((Z28-3)&gt;0,Z28-3,0)</f>
        <v>0</v>
      </c>
      <c r="AB28" s="102">
        <f>Z28+3</f>
        <v>3</v>
      </c>
      <c r="AC28" s="81" t="str">
        <f t="shared" si="13"/>
        <v>No</v>
      </c>
      <c r="AD28" s="101">
        <f t="shared" si="15"/>
        <v>0</v>
      </c>
      <c r="AE28" t="str">
        <f t="shared" si="16"/>
        <v>0-3</v>
      </c>
    </row>
    <row r="29" spans="1:31" ht="21" customHeight="1" thickBot="1">
      <c r="A29" s="33" t="s">
        <v>46</v>
      </c>
      <c r="B29" s="192"/>
      <c r="C29" s="29"/>
      <c r="D29" s="197">
        <f>IF(B29="",0,SUM(B22:B29))</f>
        <v>0</v>
      </c>
      <c r="E29" s="29"/>
      <c r="F29" s="29"/>
      <c r="G29" s="194">
        <f t="shared" si="25"/>
        <v>0.1</v>
      </c>
      <c r="H29" s="37"/>
      <c r="I29" s="37"/>
      <c r="J29" s="207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75</v>
      </c>
      <c r="U29" s="87">
        <f>U28-($U$25-$U$30)/5</f>
        <v>0</v>
      </c>
      <c r="V29" s="87">
        <f>V28-($V$25-$V$30)/5</f>
        <v>0</v>
      </c>
      <c r="W29" s="83">
        <f>'Grad 5'!I48</f>
        <v>0</v>
      </c>
      <c r="X29" s="84" t="str">
        <f t="shared" si="14"/>
        <v xml:space="preserve"> </v>
      </c>
      <c r="Y29" s="85" t="str">
        <f t="shared" si="10"/>
        <v/>
      </c>
      <c r="Z29" s="83">
        <f>'Grad 1'!Z29</f>
        <v>0</v>
      </c>
      <c r="AA29" s="102">
        <f>IF((Z29-2)&gt;0,Z29-2,0)</f>
        <v>0</v>
      </c>
      <c r="AB29" s="102">
        <f>Z29+2</f>
        <v>2</v>
      </c>
      <c r="AC29" s="81" t="str">
        <f t="shared" si="13"/>
        <v>No</v>
      </c>
      <c r="AD29" s="101">
        <f t="shared" si="15"/>
        <v>0</v>
      </c>
      <c r="AE29" t="str">
        <f t="shared" si="16"/>
        <v>0-2</v>
      </c>
    </row>
    <row r="30" spans="1:31" ht="21" customHeight="1">
      <c r="A30" s="218" t="s">
        <v>157</v>
      </c>
      <c r="B30" s="200"/>
      <c r="C30" s="37" t="s">
        <v>44</v>
      </c>
      <c r="D30" s="29"/>
      <c r="E30" s="29"/>
      <c r="F30" s="29"/>
      <c r="G30" s="194">
        <f>SUM(G22:G29)</f>
        <v>0.79999999999999993</v>
      </c>
      <c r="H30" s="196"/>
      <c r="I30" s="196"/>
      <c r="J30" s="207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5'!$I$14</f>
        <v>0</v>
      </c>
      <c r="V30" s="83">
        <f>'Grad 5'!$I$31</f>
        <v>0</v>
      </c>
      <c r="W30" s="83">
        <f>'Grad 5'!I49</f>
        <v>0</v>
      </c>
      <c r="X30" s="84" t="str">
        <f t="shared" si="14"/>
        <v xml:space="preserve"> </v>
      </c>
      <c r="Y30" s="85" t="str">
        <f t="shared" si="10"/>
        <v/>
      </c>
      <c r="Z30" s="83">
        <f>'Grad 1'!Z30</f>
        <v>2</v>
      </c>
      <c r="AA30" s="102">
        <v>0</v>
      </c>
      <c r="AB30" s="83">
        <f>Z30</f>
        <v>2</v>
      </c>
      <c r="AC30" s="81" t="str">
        <f t="shared" si="13"/>
        <v>No</v>
      </c>
      <c r="AD30" s="101">
        <f t="shared" si="15"/>
        <v>0</v>
      </c>
      <c r="AE30" t="str">
        <f t="shared" si="16"/>
        <v>0-2</v>
      </c>
    </row>
    <row r="31" spans="1:31" ht="21" customHeight="1" thickBot="1">
      <c r="A31" s="219" t="s">
        <v>158</v>
      </c>
      <c r="B31" s="201"/>
      <c r="C31" s="37" t="s">
        <v>45</v>
      </c>
      <c r="D31" s="29"/>
      <c r="E31" s="29"/>
      <c r="F31" s="29"/>
      <c r="G31" s="196"/>
      <c r="H31" s="38" t="s">
        <v>17</v>
      </c>
      <c r="I31" s="193">
        <f>ROUND(IF(B34=0,0,SUM(B34/B30)*100),1)</f>
        <v>0</v>
      </c>
      <c r="J31" s="204" t="str">
        <f>IF('Proj Info'!B52=" "," ",'Proj Info'!B52)</f>
        <v>0-2.5</v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8"/>
      <c r="U31" s="92"/>
      <c r="V31" s="92"/>
      <c r="W31" s="92"/>
      <c r="X31" s="90"/>
      <c r="Y31" s="90"/>
      <c r="Z31" s="96"/>
      <c r="AA31" s="92"/>
      <c r="AB31" s="92"/>
      <c r="AC31" s="76"/>
      <c r="AD31" s="101">
        <f>+SUM(AD19:AD30)</f>
        <v>0</v>
      </c>
      <c r="AE31" t="str">
        <f>IF(AD31=12,"Y","N")</f>
        <v>N</v>
      </c>
    </row>
    <row r="32" spans="1:31" ht="21" customHeight="1" thickTop="1">
      <c r="A32" s="33" t="s">
        <v>46</v>
      </c>
      <c r="B32" s="192"/>
      <c r="C32" s="37" t="s">
        <v>47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142</v>
      </c>
      <c r="Y32" s="170" t="str">
        <f>IF(Y19="","",((100-Y19)+(Y19-Y20)+(Y20-Y21)+(Y21-Y22)+(Y22-Y23))/((100-Y19)+(Y19-Y20)+(Y20-Y21)+(Y21-Y22)+(Y22-Y23)+(Y23-Y24)+(Y24-Y25))*100)</f>
        <v/>
      </c>
    </row>
    <row r="33" spans="1:25" ht="21" customHeight="1">
      <c r="A33" s="33" t="s">
        <v>48</v>
      </c>
      <c r="B33" s="193">
        <f>IF(B31="",0,SUM(B30-B31))</f>
        <v>0</v>
      </c>
      <c r="C33" s="37" t="s">
        <v>49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143</v>
      </c>
      <c r="Y33" s="170" t="str">
        <f>IF(Y25="","",Y25)</f>
        <v/>
      </c>
    </row>
    <row r="34" spans="1:25" ht="21" customHeight="1">
      <c r="A34" s="33" t="s">
        <v>50</v>
      </c>
      <c r="B34" s="202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161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220" t="s">
        <v>160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130" t="s">
        <v>157</v>
      </c>
      <c r="B39" s="192"/>
      <c r="C39" s="557" t="s">
        <v>52</v>
      </c>
      <c r="D39" s="558"/>
      <c r="E39" s="190">
        <f>ROUND(IF(D51=0,0,SUM(D51/B39)*100),1)</f>
        <v>0</v>
      </c>
      <c r="F39" s="31" t="s">
        <v>32</v>
      </c>
      <c r="G39" s="10" t="s">
        <v>53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130" t="s">
        <v>158</v>
      </c>
      <c r="B40" s="192"/>
      <c r="C40" s="29"/>
      <c r="D40" s="562" t="str">
        <f>IF(E39&lt;5,"",IF(E39&lt;99.5,"Check Weights.",IF(E39&gt;100.5,"Check Weights","")))</f>
        <v/>
      </c>
      <c r="E40" s="563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130" t="s">
        <v>110</v>
      </c>
      <c r="B41" s="192"/>
      <c r="C41" s="29"/>
      <c r="D41" s="34"/>
      <c r="E41" s="29"/>
      <c r="F41" s="29"/>
      <c r="G41" s="193">
        <f t="shared" ref="G41:G47" si="27">IF($M$52=100,$M41,IF($N$52=100,$N41,IF($O$52=100,$O41,IF($P$52=100,$P41,IF($Q$52=100,$Q41,IF($R$52=100,$R41,$R41))))))</f>
        <v>0.1</v>
      </c>
      <c r="H41" s="193">
        <f>IF(D51=0,0,100-G41)</f>
        <v>0</v>
      </c>
      <c r="I41" s="203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</row>
    <row r="42" spans="1:25" ht="21" customHeight="1">
      <c r="A42" s="33" t="s">
        <v>41</v>
      </c>
      <c r="B42" s="192"/>
      <c r="C42" s="29"/>
      <c r="D42" s="29"/>
      <c r="E42" s="29"/>
      <c r="F42" s="29"/>
      <c r="G42" s="193">
        <f t="shared" si="27"/>
        <v>0.1</v>
      </c>
      <c r="H42" s="193">
        <f t="shared" ref="H42:H49" si="33">IF(H41=0,0,(H41-G42))</f>
        <v>0</v>
      </c>
      <c r="I42" s="203">
        <f t="shared" si="28"/>
        <v>0</v>
      </c>
      <c r="J42" s="13" t="str">
        <f>IF('Proj Info'!B53=" "," ",'Proj Info'!B53)</f>
        <v>100</v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</row>
    <row r="43" spans="1:25" ht="21" customHeight="1">
      <c r="A43" s="33" t="s">
        <v>42</v>
      </c>
      <c r="B43" s="192"/>
      <c r="C43" s="29"/>
      <c r="D43" s="29"/>
      <c r="E43" s="29"/>
      <c r="F43" s="29"/>
      <c r="G43" s="193">
        <f t="shared" si="27"/>
        <v>0.1</v>
      </c>
      <c r="H43" s="193">
        <f t="shared" si="33"/>
        <v>0</v>
      </c>
      <c r="I43" s="203">
        <f t="shared" si="28"/>
        <v>0</v>
      </c>
      <c r="J43" s="13" t="str">
        <f>IF('Proj Info'!B54=" "," ",'Proj Info'!B54)</f>
        <v>90-100</v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25" ht="21" customHeight="1">
      <c r="A44" s="33" t="s">
        <v>43</v>
      </c>
      <c r="B44" s="192"/>
      <c r="C44" s="29"/>
      <c r="D44" s="29"/>
      <c r="E44" s="29"/>
      <c r="F44" s="29"/>
      <c r="G44" s="193">
        <f t="shared" si="27"/>
        <v>0.1</v>
      </c>
      <c r="H44" s="193">
        <f t="shared" si="33"/>
        <v>0</v>
      </c>
      <c r="I44" s="203">
        <f t="shared" si="28"/>
        <v>0</v>
      </c>
      <c r="J44" s="13" t="str">
        <f>IF('Proj Info'!B55=" "," ",'Proj Info'!B55)</f>
        <v>70-100</v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25" ht="21" customHeight="1">
      <c r="A45" s="33" t="s">
        <v>76</v>
      </c>
      <c r="B45" s="192"/>
      <c r="C45" s="29"/>
      <c r="D45" s="29"/>
      <c r="E45" s="29"/>
      <c r="F45" s="29"/>
      <c r="G45" s="193">
        <f t="shared" si="27"/>
        <v>0.1</v>
      </c>
      <c r="H45" s="193">
        <f t="shared" si="33"/>
        <v>0</v>
      </c>
      <c r="I45" s="203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25" ht="21" customHeight="1">
      <c r="A46" s="33" t="s">
        <v>77</v>
      </c>
      <c r="B46" s="192"/>
      <c r="C46" s="29"/>
      <c r="D46" s="29"/>
      <c r="E46" s="29"/>
      <c r="F46" s="29"/>
      <c r="G46" s="193">
        <f t="shared" si="27"/>
        <v>0.1</v>
      </c>
      <c r="H46" s="193">
        <f t="shared" si="33"/>
        <v>0</v>
      </c>
      <c r="I46" s="203">
        <f t="shared" si="28"/>
        <v>0</v>
      </c>
      <c r="J46" s="13" t="str">
        <f>IF('Proj Info'!B56=" "," ",'Proj Info'!B56)</f>
        <v>10-60</v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25" ht="21" customHeight="1">
      <c r="A47" s="33" t="s">
        <v>78</v>
      </c>
      <c r="B47" s="192"/>
      <c r="C47" s="29"/>
      <c r="D47" s="29"/>
      <c r="E47" s="29"/>
      <c r="F47" s="29"/>
      <c r="G47" s="193">
        <f t="shared" si="27"/>
        <v>0.1</v>
      </c>
      <c r="H47" s="193">
        <f t="shared" si="33"/>
        <v>0</v>
      </c>
      <c r="I47" s="203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25" ht="21" customHeight="1">
      <c r="A48" s="33" t="s">
        <v>79</v>
      </c>
      <c r="B48" s="192"/>
      <c r="C48" s="29"/>
      <c r="D48" s="29"/>
      <c r="E48" s="29"/>
      <c r="F48" s="29"/>
      <c r="G48" s="193">
        <f>IF($M$52=100,$M48,IF($N$52=100,$N48,IF($O$52=100,$O48,IF($P$52=100,$P48,IF($Q$52=100,$Q48,IF($R$52=100,$R48,$R48))))))</f>
        <v>0.1</v>
      </c>
      <c r="H48" s="193">
        <f t="shared" si="33"/>
        <v>0</v>
      </c>
      <c r="I48" s="203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80</v>
      </c>
      <c r="B49" s="192"/>
      <c r="C49" s="29"/>
      <c r="D49" s="29"/>
      <c r="E49" s="29"/>
      <c r="F49" s="29"/>
      <c r="G49" s="193">
        <f>IF($M$52=100,$M49,IF($N$52=100,$N49,IF($O$52=100,$O49,IF($P$52=100,$P49,IF($Q$52=100,$Q49,IF($R$52=100,$R49,$R49))))))</f>
        <v>0.1</v>
      </c>
      <c r="H49" s="193">
        <f t="shared" si="33"/>
        <v>0</v>
      </c>
      <c r="I49" s="203">
        <f t="shared" si="28"/>
        <v>0</v>
      </c>
      <c r="J49" s="13" t="str">
        <f>IF('Proj Info'!B57=" "," ",'Proj Info'!B57)</f>
        <v>0-1.5</v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54</v>
      </c>
      <c r="B50" s="192"/>
      <c r="C50" s="29"/>
      <c r="D50" s="36" t="s">
        <v>27</v>
      </c>
      <c r="E50" s="29"/>
      <c r="F50" s="29"/>
      <c r="G50" s="193">
        <f>IF($M$52=100,$M50,IF($N$52=100,$N50,IF($O$52=100,$O50,IF($P$52=100,$P50,IF($Q$52=100,$Q50,IF($R$52=100,$R50,$R50))))))</f>
        <v>0.1</v>
      </c>
      <c r="H50" s="189"/>
      <c r="I50" s="189"/>
      <c r="J50" s="189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55</v>
      </c>
      <c r="B51" s="193">
        <f>IF(B40="",0,SUM(B39-B40))</f>
        <v>0</v>
      </c>
      <c r="C51" s="29"/>
      <c r="D51" s="191">
        <f>IF(B50="",0,SUM(B41:B51))</f>
        <v>0</v>
      </c>
      <c r="E51" s="29"/>
      <c r="F51" s="29"/>
      <c r="G51" s="193">
        <f>IF(G50="",0,SUM(G41:G50))</f>
        <v>0.99999999999999989</v>
      </c>
      <c r="H51" s="189"/>
      <c r="I51" s="189"/>
      <c r="J51" s="189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161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W7ldTPMo9HFjdZdlgsr8xyeARtbis/U4FmnrsFAo8ZbmG6/8CoKTyqAk8IKbHGJK3CSCqykhzVMqx/BKZ6bBEQ==" saltValue="wAFGCDiRcJm4yUxdUl+3Mg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8">
    <pageSetUpPr fitToPage="1"/>
  </sheetPr>
  <dimension ref="A1:AD368"/>
  <sheetViews>
    <sheetView showZeros="0" defaultGridColor="0" view="pageBreakPreview" colorId="22" zoomScale="50" zoomScaleNormal="60" workbookViewId="0">
      <selection activeCell="P51" sqref="P51"/>
    </sheetView>
  </sheetViews>
  <sheetFormatPr defaultColWidth="9.77734375" defaultRowHeight="15"/>
  <cols>
    <col min="1" max="1" width="18.77734375" style="2" customWidth="1"/>
    <col min="2" max="3" width="12.77734375" style="2" customWidth="1"/>
    <col min="4" max="4" width="17.77734375" style="2" customWidth="1"/>
    <col min="5" max="5" width="11.77734375" style="2" customWidth="1"/>
    <col min="6" max="6" width="13.77734375" style="2" customWidth="1"/>
    <col min="7" max="11" width="11.77734375" style="2" customWidth="1"/>
    <col min="12" max="12" width="14" style="2" customWidth="1"/>
    <col min="13" max="14" width="11.77734375" style="2" customWidth="1"/>
    <col min="15" max="15" width="11.33203125" style="2" customWidth="1"/>
    <col min="16" max="16" width="12.6640625" style="2" customWidth="1"/>
    <col min="17" max="17" width="11.6640625" style="2" customWidth="1"/>
    <col min="18" max="18" width="9.77734375" style="2"/>
    <col min="19" max="19" width="10.77734375" style="2" customWidth="1"/>
    <col min="20" max="20" width="10.5546875" style="2" customWidth="1"/>
    <col min="21" max="21" width="9.5546875" style="2" customWidth="1"/>
    <col min="22" max="22" width="8.6640625" style="2" customWidth="1"/>
    <col min="23" max="23" width="9.77734375" style="2"/>
    <col min="24" max="25" width="11.77734375" style="2" customWidth="1"/>
    <col min="26" max="26" width="12.6640625" style="2" customWidth="1"/>
    <col min="27" max="27" width="6.77734375" style="2" hidden="1" customWidth="1"/>
    <col min="28" max="28" width="7.77734375" style="2" customWidth="1"/>
    <col min="29" max="29" width="9.77734375" style="2"/>
    <col min="30" max="30" width="5.77734375" style="2" customWidth="1"/>
    <col min="31" max="16384" width="9.77734375" style="2"/>
  </cols>
  <sheetData>
    <row r="1" spans="1:30" ht="27" customHeight="1">
      <c r="A1" s="8" t="s">
        <v>150</v>
      </c>
      <c r="F1" s="4"/>
      <c r="G1" s="3"/>
      <c r="H1" s="3"/>
      <c r="I1" s="3"/>
      <c r="J1" s="3"/>
      <c r="K1" s="3"/>
      <c r="L1" s="5"/>
      <c r="M1" s="3"/>
      <c r="N1" s="5"/>
      <c r="O1" s="5"/>
      <c r="P1" s="5"/>
      <c r="Q1" s="5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6"/>
      <c r="AD1" s="7"/>
    </row>
    <row r="2" spans="1:30" ht="27" customHeight="1">
      <c r="A2" s="103" t="s">
        <v>477</v>
      </c>
      <c r="D2" s="8"/>
      <c r="E2" s="103"/>
      <c r="F2" s="4"/>
      <c r="G2" s="3"/>
      <c r="H2" s="3"/>
      <c r="I2" s="3"/>
      <c r="J2" s="3"/>
      <c r="K2" s="3"/>
      <c r="L2" s="5"/>
      <c r="M2" s="3"/>
      <c r="N2" s="5"/>
      <c r="O2" s="5"/>
      <c r="P2" s="5"/>
      <c r="Q2" s="5"/>
      <c r="R2" s="3"/>
      <c r="S2" s="3"/>
      <c r="T2" s="3"/>
      <c r="U2" s="3"/>
      <c r="V2" s="3"/>
      <c r="W2" s="3"/>
      <c r="X2" s="3"/>
      <c r="Y2" s="3"/>
      <c r="Z2" s="4"/>
      <c r="AA2" s="3"/>
      <c r="AB2" s="3"/>
      <c r="AC2" s="6"/>
      <c r="AD2" s="7"/>
    </row>
    <row r="3" spans="1:30" ht="27" customHeight="1">
      <c r="B3" s="104"/>
      <c r="C3" s="104"/>
      <c r="D3" s="8"/>
      <c r="E3" s="103"/>
      <c r="F3" s="4"/>
      <c r="G3" s="3"/>
      <c r="H3" s="3"/>
      <c r="I3" s="3"/>
      <c r="J3" s="3"/>
      <c r="K3" s="3"/>
      <c r="L3" s="5"/>
      <c r="M3" s="3"/>
      <c r="N3" s="5"/>
      <c r="O3" s="5"/>
      <c r="P3" s="5"/>
      <c r="Q3" s="5"/>
      <c r="R3" s="3"/>
      <c r="S3" s="3"/>
      <c r="T3" s="3"/>
      <c r="U3" s="3"/>
      <c r="V3" s="3"/>
      <c r="W3" s="3"/>
      <c r="X3" s="3"/>
      <c r="Y3" s="3"/>
      <c r="Z3" s="4"/>
      <c r="AA3" s="3"/>
      <c r="AB3" s="3"/>
      <c r="AC3" s="6"/>
      <c r="AD3" s="7"/>
    </row>
    <row r="4" spans="1:30" ht="24" customHeight="1">
      <c r="B4" s="104"/>
      <c r="C4" s="104"/>
      <c r="E4" s="581" t="s">
        <v>148</v>
      </c>
      <c r="F4" s="581"/>
      <c r="G4" s="581"/>
      <c r="H4" s="581"/>
      <c r="I4" s="581"/>
      <c r="J4" s="581"/>
      <c r="T4" s="3"/>
      <c r="U4" s="3"/>
      <c r="V4" s="3"/>
      <c r="W4" s="3"/>
      <c r="X4" s="3"/>
      <c r="Y4" s="3"/>
      <c r="Z4" s="4"/>
      <c r="AA4" s="3"/>
      <c r="AB4" s="3"/>
      <c r="AC4" s="6"/>
      <c r="AD4" s="7"/>
    </row>
    <row r="5" spans="1:30" ht="35.1" customHeight="1">
      <c r="A5" s="106"/>
      <c r="H5" s="107"/>
      <c r="I5" s="105"/>
      <c r="J5" s="105"/>
      <c r="K5" s="105"/>
      <c r="L5" s="105"/>
      <c r="M5" s="105"/>
      <c r="N5" s="108" t="s">
        <v>63</v>
      </c>
      <c r="O5" s="109"/>
      <c r="P5" s="110" t="s">
        <v>64</v>
      </c>
      <c r="Q5" s="111"/>
      <c r="Z5" s="107"/>
      <c r="AA5" s="6"/>
      <c r="AC5" s="6"/>
      <c r="AD5" s="7"/>
    </row>
    <row r="6" spans="1:30" ht="35.1" customHeight="1">
      <c r="A6" s="135" t="s">
        <v>18</v>
      </c>
      <c r="B6" s="177" t="str">
        <f>IF('Proj Info'!B4="","",'Proj Info'!B4)</f>
        <v/>
      </c>
      <c r="C6" s="178"/>
      <c r="D6" s="178"/>
      <c r="E6" s="136"/>
      <c r="F6" s="135" t="s">
        <v>19</v>
      </c>
      <c r="G6" s="177" t="str">
        <f>IF('Proj Info'!B11="","",('Proj Info'!B11))</f>
        <v/>
      </c>
      <c r="H6" s="178"/>
      <c r="I6" s="137"/>
      <c r="J6" s="136"/>
      <c r="K6" s="135" t="s">
        <v>20</v>
      </c>
      <c r="L6" s="180" t="str">
        <f>IF('Proj Info'!B1="","",('Proj Info'!B1))</f>
        <v/>
      </c>
      <c r="M6" s="137"/>
      <c r="N6" s="114" t="s">
        <v>25</v>
      </c>
      <c r="O6" s="115" t="str">
        <f>IF('Proj Info'!$B$14=" "," ",'Proj Info'!$B$14)</f>
        <v xml:space="preserve"> </v>
      </c>
      <c r="P6" s="116" t="s">
        <v>26</v>
      </c>
      <c r="Q6" s="114" t="str">
        <f>IF('Proj Info'!$B$16=" "," ",'Proj Info'!$B$16)</f>
        <v xml:space="preserve"> </v>
      </c>
      <c r="Z6" s="107"/>
      <c r="AA6" s="8"/>
      <c r="AC6" s="6"/>
      <c r="AD6" s="7"/>
    </row>
    <row r="7" spans="1:30" ht="35.1" customHeight="1">
      <c r="B7" s="177" t="str">
        <f>IF('Proj Info'!B5="","",'Proj Info'!B5)</f>
        <v/>
      </c>
      <c r="C7" s="182"/>
      <c r="D7" s="182"/>
      <c r="E7" s="136"/>
      <c r="F7" s="135" t="s">
        <v>22</v>
      </c>
      <c r="G7" s="177" t="str">
        <f>IF('Proj Info'!B12="","",('Proj Info'!B12))</f>
        <v/>
      </c>
      <c r="H7" s="177"/>
      <c r="I7" s="137"/>
      <c r="J7" s="136"/>
      <c r="K7" s="135" t="s">
        <v>23</v>
      </c>
      <c r="L7" s="181" t="str">
        <f>IF('Proj Info'!B2="","",('Proj Info'!B2))</f>
        <v/>
      </c>
      <c r="M7" s="137"/>
      <c r="N7" s="117" t="s">
        <v>59</v>
      </c>
      <c r="O7" s="115" t="str">
        <f>IF('Proj Info'!$B$15=" "," ",'Proj Info'!$B$15)</f>
        <v xml:space="preserve"> </v>
      </c>
      <c r="P7" s="118" t="s">
        <v>60</v>
      </c>
      <c r="Q7" s="114" t="str">
        <f>IF('Proj Info'!$B$17=" "," ",'Proj Info'!$B$17)</f>
        <v xml:space="preserve"> </v>
      </c>
      <c r="Z7" s="107"/>
      <c r="AA7" s="8"/>
      <c r="AC7" s="6"/>
      <c r="AD7" s="7"/>
    </row>
    <row r="8" spans="1:30" ht="35.1" customHeight="1">
      <c r="B8" s="177" t="str">
        <f>IF('Proj Info'!B6="","",'Proj Info'!B6)</f>
        <v/>
      </c>
      <c r="C8" s="182"/>
      <c r="D8" s="182"/>
      <c r="E8" s="137"/>
      <c r="F8" s="215" t="s">
        <v>156</v>
      </c>
      <c r="G8" s="177" t="str">
        <f>IF('Proj Info'!B8="","",('Proj Info'!B8))</f>
        <v/>
      </c>
      <c r="H8" s="179"/>
      <c r="I8" s="137"/>
      <c r="J8" s="136"/>
      <c r="K8" s="135" t="s">
        <v>24</v>
      </c>
      <c r="L8" s="181" t="str">
        <f>IF('Proj Info'!B3="","",('Proj Info'!B3))</f>
        <v/>
      </c>
      <c r="M8" s="137"/>
      <c r="N8" s="107"/>
      <c r="O8" s="107"/>
      <c r="P8" s="119" t="s">
        <v>61</v>
      </c>
      <c r="Q8" s="114" t="str">
        <f>IF('Proj Info'!$B$18=" "," ",'Proj Info'!$B$18)</f>
        <v xml:space="preserve"> </v>
      </c>
      <c r="Z8" s="107"/>
      <c r="AA8" s="8"/>
      <c r="AC8" s="6"/>
      <c r="AD8" s="7"/>
    </row>
    <row r="9" spans="1:30" ht="35.1" customHeight="1">
      <c r="B9" s="177" t="str">
        <f>IF('Proj Info'!B7="","",'Proj Info'!B7)</f>
        <v/>
      </c>
      <c r="C9" s="182"/>
      <c r="D9" s="182"/>
      <c r="E9" s="137"/>
      <c r="F9" s="137"/>
      <c r="G9" s="137"/>
      <c r="H9" s="138"/>
      <c r="I9" s="137"/>
      <c r="J9" s="137"/>
      <c r="K9" s="135" t="s">
        <v>106</v>
      </c>
      <c r="L9" s="586" t="str">
        <f>IF('Proj Info'!B13="","",('Proj Info'!B13))</f>
        <v/>
      </c>
      <c r="M9" s="587"/>
      <c r="N9" s="188"/>
      <c r="O9" s="113"/>
      <c r="P9" s="118" t="s">
        <v>62</v>
      </c>
      <c r="Q9" s="114" t="str">
        <f>IF('Proj Info'!$B$19=" "," ",'Proj Info'!$B$19)</f>
        <v xml:space="preserve"> </v>
      </c>
      <c r="Z9" s="107"/>
      <c r="AA9" s="8"/>
      <c r="AC9" s="6"/>
      <c r="AD9" s="7"/>
    </row>
    <row r="10" spans="1:30" ht="35.1" customHeight="1">
      <c r="A10" s="135" t="s">
        <v>105</v>
      </c>
      <c r="B10" s="177" t="str">
        <f>IF('Proj Info'!B10="","",('Proj Info'!B10))</f>
        <v/>
      </c>
      <c r="C10" s="178"/>
      <c r="D10" s="178"/>
      <c r="E10"/>
      <c r="F10" s="135" t="s">
        <v>21</v>
      </c>
      <c r="G10" s="177" t="str">
        <f>IF('Proj Info'!B9="","",('Proj Info'!B9))</f>
        <v/>
      </c>
      <c r="H10" s="178"/>
      <c r="I10" s="178"/>
      <c r="J10" s="113"/>
      <c r="K10" s="112"/>
      <c r="L10" s="120"/>
      <c r="M10" s="106"/>
      <c r="N10" s="107"/>
      <c r="O10" s="113"/>
      <c r="P10" s="112"/>
      <c r="Q10" s="105"/>
      <c r="R10" s="105"/>
      <c r="S10" s="105"/>
      <c r="T10" s="105"/>
      <c r="U10" s="113"/>
      <c r="V10" s="113"/>
      <c r="W10" s="113"/>
      <c r="X10" s="121"/>
      <c r="Y10" s="577"/>
      <c r="Z10" s="577"/>
      <c r="AA10" s="8"/>
      <c r="AB10" s="8"/>
      <c r="AC10" s="6"/>
      <c r="AD10" s="7"/>
    </row>
    <row r="11" spans="1:30" ht="35.1" customHeight="1">
      <c r="B11"/>
      <c r="C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 s="2" t="e">
        <f>IF(#REF!="","",#REF!)</f>
        <v>#REF!</v>
      </c>
      <c r="AB11" s="6"/>
      <c r="AC11" s="6"/>
      <c r="AD11" s="7"/>
    </row>
    <row r="12" spans="1:30" ht="35.1" customHeight="1">
      <c r="A12" s="578" t="s">
        <v>131</v>
      </c>
      <c r="B12" s="579"/>
      <c r="C12" s="579"/>
      <c r="D12" s="579"/>
      <c r="E12" s="579"/>
      <c r="F12" s="580"/>
      <c r="G12" s="172" t="s">
        <v>65</v>
      </c>
      <c r="H12" s="172" t="s">
        <v>66</v>
      </c>
      <c r="I12" s="172" t="s">
        <v>67</v>
      </c>
      <c r="J12" s="172" t="s">
        <v>68</v>
      </c>
      <c r="K12" s="172" t="s">
        <v>69</v>
      </c>
      <c r="L12" s="172" t="s">
        <v>70</v>
      </c>
      <c r="M12" s="172" t="s">
        <v>71</v>
      </c>
      <c r="N12" s="172" t="s">
        <v>17</v>
      </c>
      <c r="O12" s="147"/>
      <c r="P12" s="147"/>
      <c r="Q12" s="147"/>
      <c r="R12" s="137"/>
      <c r="S12"/>
      <c r="T12"/>
      <c r="U12"/>
      <c r="V12"/>
      <c r="W12"/>
      <c r="X12"/>
      <c r="Y12"/>
      <c r="Z12"/>
      <c r="AA12" s="2" t="e">
        <f>IF(#REF!="","",#REF!)</f>
        <v>#REF!</v>
      </c>
    </row>
    <row r="13" spans="1:30" ht="35.1" customHeight="1">
      <c r="A13" s="140"/>
      <c r="C13" s="512"/>
      <c r="D13" s="513"/>
      <c r="E13" s="140" t="s">
        <v>155</v>
      </c>
      <c r="F13" s="208">
        <f>IF('Proj Info'!$B$30=" "," ",'Proj Info'!$B$30)</f>
        <v>3</v>
      </c>
      <c r="G13" s="126" t="s">
        <v>112</v>
      </c>
      <c r="H13" s="126" t="s">
        <v>115</v>
      </c>
      <c r="I13" s="126" t="s">
        <v>113</v>
      </c>
      <c r="J13" s="126" t="s">
        <v>114</v>
      </c>
      <c r="K13" s="126" t="s">
        <v>116</v>
      </c>
      <c r="L13" s="126" t="s">
        <v>117</v>
      </c>
      <c r="M13" s="126" t="s">
        <v>118</v>
      </c>
      <c r="N13" s="126" t="s">
        <v>119</v>
      </c>
      <c r="O13" s="173" t="s">
        <v>57</v>
      </c>
      <c r="P13" s="136"/>
      <c r="Q13" s="137"/>
      <c r="R13" s="137"/>
      <c r="S13"/>
      <c r="T13"/>
      <c r="U13"/>
      <c r="V13"/>
      <c r="W13"/>
      <c r="X13"/>
      <c r="Y13"/>
      <c r="Z13"/>
    </row>
    <row r="14" spans="1:30" ht="35.1" customHeight="1">
      <c r="A14" s="514" t="s">
        <v>153</v>
      </c>
      <c r="B14" s="511" t="s">
        <v>154</v>
      </c>
      <c r="C14" s="209" t="s">
        <v>133</v>
      </c>
      <c r="D14" s="210" t="s">
        <v>124</v>
      </c>
      <c r="E14" s="588" t="s">
        <v>125</v>
      </c>
      <c r="F14" s="584"/>
      <c r="G14" s="146" t="str">
        <f>IF('Proj Info'!$B$39=" "," ",'Proj Info'!$B$39)</f>
        <v>100</v>
      </c>
      <c r="H14" s="146" t="str">
        <f>IF('Proj Info'!$B$40=" "," ",'Proj Info'!$B$40)</f>
        <v>95-100</v>
      </c>
      <c r="I14" s="146" t="str">
        <f>IF('Proj Info'!$B$41=" "," ",'Proj Info'!$B$41)</f>
        <v/>
      </c>
      <c r="J14" s="146" t="str">
        <f>IF('Proj Info'!$B$42=" "," ",'Proj Info'!$B$42)</f>
        <v>25-60</v>
      </c>
      <c r="K14" s="146" t="str">
        <f>IF('Proj Info'!$B$43=" "," ",'Proj Info'!$B$43)</f>
        <v/>
      </c>
      <c r="L14" s="148" t="str">
        <f>IF('Proj Info'!$B$44=" "," ",'Proj Info'!$B$44)</f>
        <v>0-10</v>
      </c>
      <c r="M14" s="146" t="str">
        <f>IF('Proj Info'!$B$45=" "," ",'Proj Info'!$B$45)</f>
        <v>0-5</v>
      </c>
      <c r="N14" s="146" t="str">
        <f>IF('Proj Info'!$B$46=" "," ",'Proj Info'!$B$46)</f>
        <v>0-2.5</v>
      </c>
      <c r="O14" s="174" t="s">
        <v>58</v>
      </c>
      <c r="P14" s="136"/>
      <c r="Q14" s="137"/>
      <c r="R14" s="137"/>
      <c r="S14"/>
      <c r="T14"/>
      <c r="U14"/>
      <c r="V14"/>
      <c r="W14"/>
      <c r="X14"/>
      <c r="Y14"/>
      <c r="Z14"/>
    </row>
    <row r="15" spans="1:30" ht="35.1" customHeight="1">
      <c r="A15" s="211" t="str">
        <f>IF('Proj Info'!$B28="","",('Proj Info'!$B28))</f>
        <v/>
      </c>
      <c r="B15" s="208" t="str">
        <f>IF('Proj Info'!$B29="","",('Proj Info'!$B29))</f>
        <v/>
      </c>
      <c r="C15" s="183" t="str">
        <f>IF('Proj Info'!$B$8="","",IF(OR('Proj Info'!$B$8="QMC",'Proj Info'!$B$8="BR",'Proj Info'!$B$8="HPC-D"),'HPC-D Mix'!E4*100))</f>
        <v/>
      </c>
      <c r="D15" s="517" t="str">
        <f>IF('Grad 1'!$B$1="","",'Grad 1'!$B$1)</f>
        <v/>
      </c>
      <c r="E15" s="591" t="str">
        <f>IF('Grad 1'!$B$3=" "," ",'Grad 1'!$B$3)</f>
        <v xml:space="preserve"> </v>
      </c>
      <c r="F15" s="584"/>
      <c r="G15" s="145" t="str">
        <f>IF('Grad 1'!$I$5=" "," ",'Grad 1'!$I$5)</f>
        <v xml:space="preserve"> </v>
      </c>
      <c r="H15" s="145" t="str">
        <f>IF('Grad 1'!$I$6=" "," ",'Grad 1'!$I$6)</f>
        <v xml:space="preserve"> </v>
      </c>
      <c r="I15" s="145" t="str">
        <f>IF('Grad 1'!$I$7=" "," ",'Grad 1'!$I$7)</f>
        <v xml:space="preserve"> </v>
      </c>
      <c r="J15" s="145" t="str">
        <f>IF('Grad 1'!$I$8=" "," ",'Grad 1'!$I$8)</f>
        <v xml:space="preserve"> </v>
      </c>
      <c r="K15" s="145" t="str">
        <f>IF('Grad 1'!$I$9=" "," ",'Grad 1'!$I$9)</f>
        <v xml:space="preserve"> </v>
      </c>
      <c r="L15" s="145" t="str">
        <f>IF('Grad 1'!$I$10=" "," ",'Grad 1'!$I$10)</f>
        <v xml:space="preserve"> </v>
      </c>
      <c r="M15" s="145" t="str">
        <f>IF('Grad 1'!$I$11=" "," ",'Grad 1'!$I$11)</f>
        <v xml:space="preserve"> </v>
      </c>
      <c r="N15" s="145" t="str">
        <f>IF('Grad 1'!$I$14=" "," ",'Grad 1'!$I$14)</f>
        <v xml:space="preserve"> </v>
      </c>
      <c r="O15" s="146" t="str">
        <f>IF('Grad 1'!$B$18=" "," ",'Grad 1'!$B$18)</f>
        <v xml:space="preserve"> </v>
      </c>
      <c r="P15" s="136"/>
      <c r="Q15" s="137"/>
      <c r="R15" s="137"/>
      <c r="S15"/>
      <c r="T15"/>
      <c r="U15"/>
      <c r="V15"/>
      <c r="W15"/>
      <c r="X15"/>
      <c r="Y15"/>
      <c r="Z15"/>
      <c r="AA15" s="6"/>
      <c r="AB15" s="6"/>
      <c r="AC15" s="6"/>
      <c r="AD15" s="7"/>
    </row>
    <row r="16" spans="1:30" ht="35.1" customHeight="1">
      <c r="A16" s="514" t="str">
        <f>IF('HPC-D Mix'!B11="","",'HPC-D Mix'!B11)</f>
        <v/>
      </c>
      <c r="B16" s="146" t="str">
        <f>IF('HPC-D Mix'!C11="","",'HPC-D Mix'!C11)</f>
        <v/>
      </c>
      <c r="C16" s="183" t="str">
        <f>IF('Proj Info'!$B$8="","",IF(OR('Proj Info'!$B$8="QMC",'Proj Info'!$B$8="BR",'Proj Info'!$B$8="HPC-D"),'HPC-D Mix'!E11*100))</f>
        <v/>
      </c>
      <c r="D16" s="517" t="str">
        <f>IF('Grad 2'!$B$1="","",'Grad 2'!$B$1)</f>
        <v/>
      </c>
      <c r="E16" s="590" t="str">
        <f>IF('Grad 2'!$B$3=" "," ",'Grad 2'!$B$3)</f>
        <v xml:space="preserve"> </v>
      </c>
      <c r="F16" s="584"/>
      <c r="G16" s="145" t="str">
        <f>IF('Grad 2'!$I$5=" "," ",'Grad 2'!$I$5)</f>
        <v xml:space="preserve"> </v>
      </c>
      <c r="H16" s="145" t="str">
        <f>IF('Grad 2'!$I$6=" "," ",'Grad 2'!$I$6)</f>
        <v xml:space="preserve"> </v>
      </c>
      <c r="I16" s="145" t="str">
        <f>IF('Grad 2'!$I$7=" "," ",'Grad 2'!$I$7)</f>
        <v xml:space="preserve"> </v>
      </c>
      <c r="J16" s="145" t="str">
        <f>IF('Grad 2'!$I$8=" "," ",'Grad 2'!$I$8)</f>
        <v xml:space="preserve"> </v>
      </c>
      <c r="K16" s="145" t="str">
        <f>IF('Grad 2'!$I$9=" "," ",'Grad 2'!$I$9)</f>
        <v xml:space="preserve"> </v>
      </c>
      <c r="L16" s="145" t="str">
        <f>IF('Grad 2'!$I$10=" "," ",'Grad 2'!$I$10)</f>
        <v xml:space="preserve"> </v>
      </c>
      <c r="M16" s="145" t="str">
        <f>IF('Grad 2'!$I$11=" "," ",'Grad 2'!$I$11)</f>
        <v xml:space="preserve"> </v>
      </c>
      <c r="N16" s="145" t="str">
        <f>IF('Grad 2'!$I$14=" "," ",'Grad 2'!$I$14)</f>
        <v xml:space="preserve"> </v>
      </c>
      <c r="O16" s="146" t="str">
        <f>IF('Grad 2'!$B$18=" "," ",'Grad 2'!$B$18)</f>
        <v xml:space="preserve"> </v>
      </c>
      <c r="P16" s="136"/>
      <c r="Q16" s="137"/>
      <c r="R16" s="137"/>
      <c r="S16"/>
      <c r="T16"/>
      <c r="U16"/>
      <c r="V16"/>
      <c r="W16"/>
      <c r="X16"/>
      <c r="Y16"/>
      <c r="Z16"/>
      <c r="AA16" s="6"/>
      <c r="AB16" s="6"/>
      <c r="AC16" s="7"/>
      <c r="AD16" s="7"/>
    </row>
    <row r="17" spans="1:30" ht="35.1" customHeight="1">
      <c r="A17" s="514" t="str">
        <f>IF('HPC-D Mix'!B18="","",'HPC-D Mix'!B18)</f>
        <v/>
      </c>
      <c r="B17" s="146" t="str">
        <f>IF('HPC-D Mix'!C18="","",'HPC-D Mix'!C18)</f>
        <v/>
      </c>
      <c r="C17" s="183" t="str">
        <f>IF('Proj Info'!$B$8="","",IF(OR('Proj Info'!$B$8="QMC",'Proj Info'!$B$8="BR",'Proj Info'!$B$8="HPC-D"),'HPC-D Mix'!E18*100))</f>
        <v/>
      </c>
      <c r="D17" s="517" t="str">
        <f>IF('Grad 3'!$B$1="","",'Grad 3'!$B$1)</f>
        <v/>
      </c>
      <c r="E17" s="590" t="str">
        <f>IF('Grad 3'!$B$3=" "," ",'Grad 3'!$B$3)</f>
        <v xml:space="preserve"> </v>
      </c>
      <c r="F17" s="584"/>
      <c r="G17" s="145" t="str">
        <f>IF('Grad 3'!$I$5=" "," ",'Grad 3'!$I$5)</f>
        <v xml:space="preserve"> </v>
      </c>
      <c r="H17" s="145" t="str">
        <f>IF('Grad 3'!$I$6=" "," ",'Grad 3'!$I$6)</f>
        <v xml:space="preserve"> </v>
      </c>
      <c r="I17" s="145" t="str">
        <f>IF('Grad 3'!$I$7=" "," ",'Grad 3'!$I$7)</f>
        <v xml:space="preserve"> </v>
      </c>
      <c r="J17" s="145" t="str">
        <f>IF('Grad 3'!$I$8=" "," ",'Grad 3'!$I$8)</f>
        <v xml:space="preserve"> </v>
      </c>
      <c r="K17" s="145" t="str">
        <f>IF('Grad 3'!$I$9=" "," ",'Grad 3'!$I$9)</f>
        <v xml:space="preserve"> </v>
      </c>
      <c r="L17" s="145" t="str">
        <f>IF('Grad 3'!$I$10=" "," ",'Grad 3'!$I$10)</f>
        <v xml:space="preserve"> </v>
      </c>
      <c r="M17" s="145" t="str">
        <f>IF('Grad 3'!$I$11=" "," ",'Grad 3'!$I$11)</f>
        <v xml:space="preserve"> </v>
      </c>
      <c r="N17" s="145" t="str">
        <f>IF('Grad 3'!$I$14=" "," ",'Grad 3'!$I$14)</f>
        <v xml:space="preserve"> </v>
      </c>
      <c r="O17" s="146" t="str">
        <f>IF('Grad 3'!$B$18=" "," ",'Grad 3'!$B$18)</f>
        <v xml:space="preserve"> </v>
      </c>
      <c r="P17" s="136"/>
      <c r="Q17" s="137"/>
      <c r="R17" s="137"/>
      <c r="S17"/>
      <c r="T17"/>
      <c r="U17"/>
      <c r="V17"/>
      <c r="W17"/>
      <c r="X17"/>
      <c r="Y17"/>
      <c r="Z17"/>
      <c r="AA17" s="6"/>
      <c r="AB17" s="6"/>
      <c r="AC17" s="6"/>
      <c r="AD17" s="7"/>
    </row>
    <row r="18" spans="1:30" ht="35.1" customHeight="1">
      <c r="A18" s="514" t="str">
        <f>IF('HPC-D Mix'!B25="","",'HPC-D Mix'!B25)</f>
        <v/>
      </c>
      <c r="B18" s="146" t="str">
        <f>IF('HPC-D Mix'!C25="","",'HPC-D Mix'!C25)</f>
        <v/>
      </c>
      <c r="C18" s="183" t="str">
        <f>IF('Proj Info'!$B$8="","",IF(OR('Proj Info'!$B$8="QMC",'Proj Info'!$B$8="BR",'Proj Info'!$B$8="HPC-D"),'HPC-D Mix'!E25*100))</f>
        <v/>
      </c>
      <c r="D18" s="517" t="str">
        <f>IF('Grad 4'!$B$1="","",'Grad 4'!$B$1)</f>
        <v/>
      </c>
      <c r="E18" s="590" t="str">
        <f>IF('Grad 4'!$B$3=" "," ",'Grad 4'!$B$3)</f>
        <v xml:space="preserve"> </v>
      </c>
      <c r="F18" s="584"/>
      <c r="G18" s="145" t="str">
        <f>IF('Grad 4'!$I$5=" "," ",'Grad 4'!$I$5)</f>
        <v xml:space="preserve"> </v>
      </c>
      <c r="H18" s="145" t="str">
        <f>IF('Grad 4'!$I$6=" "," ",'Grad 4'!$I$6)</f>
        <v xml:space="preserve"> </v>
      </c>
      <c r="I18" s="145" t="str">
        <f>IF('Grad 4'!$I$7=" "," ",'Grad 4'!$I$7)</f>
        <v xml:space="preserve"> </v>
      </c>
      <c r="J18" s="145" t="str">
        <f>IF('Grad 4'!$I$8=" "," ",'Grad 4'!$I$8)</f>
        <v xml:space="preserve"> </v>
      </c>
      <c r="K18" s="145" t="str">
        <f>IF('Grad 4'!$I$9=" "," ",'Grad 4'!$I$9)</f>
        <v xml:space="preserve"> </v>
      </c>
      <c r="L18" s="145" t="str">
        <f>IF('Grad 4'!$I$10=" "," ",'Grad 4'!$I$10)</f>
        <v xml:space="preserve"> </v>
      </c>
      <c r="M18" s="145" t="str">
        <f>IF('Grad 4'!$I$11=" "," ",'Grad 4'!$I$11)</f>
        <v xml:space="preserve"> </v>
      </c>
      <c r="N18" s="145" t="str">
        <f>IF('Grad 4'!$I$14=" "," ",'Grad 4'!$I$14)</f>
        <v xml:space="preserve"> </v>
      </c>
      <c r="O18" s="146" t="str">
        <f>IF('Grad 4'!$B$18=" "," ",'Grad 4'!$B$18)</f>
        <v xml:space="preserve"> </v>
      </c>
      <c r="P18" s="136"/>
      <c r="Q18" s="137"/>
      <c r="R18" s="137"/>
      <c r="S18"/>
      <c r="T18"/>
      <c r="U18"/>
      <c r="V18"/>
      <c r="W18"/>
      <c r="X18"/>
      <c r="Y18"/>
      <c r="Z18"/>
      <c r="AA18" s="6"/>
      <c r="AB18" s="6"/>
      <c r="AC18" s="6"/>
      <c r="AD18" s="7"/>
    </row>
    <row r="19" spans="1:30" ht="35.1" customHeight="1">
      <c r="A19" s="514" t="str">
        <f>IF('HPC-D Mix'!B32="","",'HPC-D Mix'!B32)</f>
        <v/>
      </c>
      <c r="B19" s="146" t="str">
        <f>IF('HPC-D Mix'!C32="","",'HPC-D Mix'!C32)</f>
        <v/>
      </c>
      <c r="C19" s="183" t="str">
        <f>IF('Proj Info'!$B$8="","",IF(OR('Proj Info'!$B$8="QMC",'Proj Info'!$B$8="BR",'Proj Info'!$B$8="HPC-D"),'HPC-D Mix'!E32*100))</f>
        <v/>
      </c>
      <c r="D19" s="517" t="str">
        <f>IF('Grad 5'!$B$1="","",'Grad 5'!$B$1)</f>
        <v/>
      </c>
      <c r="E19" s="590" t="str">
        <f>IF('Grad 5'!$B$3=" "," ",'Grad 5'!$B$3)</f>
        <v xml:space="preserve"> </v>
      </c>
      <c r="F19" s="584"/>
      <c r="G19" s="145" t="str">
        <f>IF('Grad 5'!$I$5=" "," ",'Grad 5'!$I$5)</f>
        <v xml:space="preserve"> </v>
      </c>
      <c r="H19" s="145" t="str">
        <f>IF('Grad 5'!$I$6=" "," ",'Grad 5'!$I$6)</f>
        <v xml:space="preserve"> </v>
      </c>
      <c r="I19" s="145" t="str">
        <f>IF('Grad 5'!$I$7=" "," ",'Grad 5'!$I$7)</f>
        <v xml:space="preserve"> </v>
      </c>
      <c r="J19" s="145" t="str">
        <f>IF('Grad 5'!$I$8=" "," ",'Grad 5'!$I$8)</f>
        <v xml:space="preserve"> </v>
      </c>
      <c r="K19" s="145" t="str">
        <f>IF('Grad 5'!$I$9=" "," ",'Grad 5'!$I$9)</f>
        <v xml:space="preserve"> </v>
      </c>
      <c r="L19" s="145" t="str">
        <f>IF('Grad 5'!$I$10=" "," ",'Grad 5'!$I$10)</f>
        <v xml:space="preserve"> </v>
      </c>
      <c r="M19" s="145" t="str">
        <f>IF('Grad 5'!$I$11=" "," ",'Grad 5'!$I$11)</f>
        <v xml:space="preserve"> </v>
      </c>
      <c r="N19" s="145" t="str">
        <f>IF('Grad 5'!$I$14=" "," ",'Grad 5'!$I$14)</f>
        <v xml:space="preserve"> </v>
      </c>
      <c r="O19" s="146" t="str">
        <f>IF('Grad 5'!$B$18=" "," ",'Grad 5'!$B$18)</f>
        <v xml:space="preserve"> </v>
      </c>
      <c r="P19" s="136"/>
      <c r="Q19" s="137"/>
      <c r="R19" s="137"/>
      <c r="S19"/>
      <c r="T19"/>
      <c r="U19"/>
      <c r="V19"/>
      <c r="W19"/>
      <c r="X19"/>
      <c r="Y19"/>
      <c r="Z19"/>
      <c r="AA19" s="6"/>
      <c r="AB19" s="6"/>
      <c r="AC19" s="6"/>
      <c r="AD19" s="7"/>
    </row>
    <row r="20" spans="1:30" ht="35.1" customHeight="1">
      <c r="B20" s="137"/>
      <c r="C20" s="137"/>
      <c r="D20" s="151"/>
      <c r="E20" s="151"/>
      <c r="F20" s="152"/>
      <c r="G20" s="153"/>
      <c r="H20" s="153"/>
      <c r="I20" s="153"/>
      <c r="J20" s="153"/>
      <c r="K20" s="153"/>
      <c r="L20" s="153"/>
      <c r="M20" s="153"/>
      <c r="N20" s="153"/>
      <c r="O20" s="150"/>
      <c r="P20" s="136"/>
      <c r="Q20" s="137"/>
      <c r="R20" s="137"/>
      <c r="S20"/>
      <c r="T20"/>
      <c r="U20"/>
      <c r="V20"/>
      <c r="W20"/>
      <c r="X20"/>
      <c r="Y20"/>
      <c r="Z20"/>
      <c r="AA20" s="6"/>
      <c r="AB20" s="6"/>
      <c r="AC20" s="6"/>
      <c r="AD20" s="7"/>
    </row>
    <row r="21" spans="1:30" customFormat="1" ht="35.1" customHeight="1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  <row r="22" spans="1:30" ht="35.1" customHeight="1">
      <c r="A22" s="585" t="s">
        <v>130</v>
      </c>
      <c r="B22" s="583"/>
      <c r="C22" s="583"/>
      <c r="D22" s="583"/>
      <c r="E22" s="583"/>
      <c r="F22" s="584"/>
      <c r="G22" s="172" t="s">
        <v>65</v>
      </c>
      <c r="H22" s="172" t="s">
        <v>66</v>
      </c>
      <c r="I22" s="172" t="s">
        <v>67</v>
      </c>
      <c r="J22" s="172" t="s">
        <v>68</v>
      </c>
      <c r="K22" s="172" t="s">
        <v>69</v>
      </c>
      <c r="L22" s="172" t="s">
        <v>70</v>
      </c>
      <c r="M22" s="172" t="s">
        <v>71</v>
      </c>
      <c r="N22" s="172" t="s">
        <v>17</v>
      </c>
      <c r="O22" s="139"/>
      <c r="P22" s="136"/>
      <c r="Q22" s="137"/>
      <c r="R22" s="137"/>
      <c r="S22"/>
      <c r="T22"/>
      <c r="U22"/>
      <c r="V22"/>
      <c r="W22"/>
      <c r="X22"/>
      <c r="Y22"/>
      <c r="Z22"/>
      <c r="AA22" s="6"/>
      <c r="AB22" s="6"/>
      <c r="AC22" s="6"/>
      <c r="AD22" s="7"/>
    </row>
    <row r="23" spans="1:30" ht="35.1" customHeight="1">
      <c r="A23" s="140"/>
      <c r="C23" s="512"/>
      <c r="D23" s="182"/>
      <c r="G23" s="126" t="s">
        <v>112</v>
      </c>
      <c r="H23" s="126" t="s">
        <v>115</v>
      </c>
      <c r="I23" s="126" t="s">
        <v>113</v>
      </c>
      <c r="J23" s="126" t="s">
        <v>114</v>
      </c>
      <c r="K23" s="126" t="s">
        <v>116</v>
      </c>
      <c r="L23" s="126" t="s">
        <v>117</v>
      </c>
      <c r="M23" s="126" t="s">
        <v>118</v>
      </c>
      <c r="N23" s="126" t="s">
        <v>119</v>
      </c>
      <c r="O23" s="173" t="s">
        <v>57</v>
      </c>
      <c r="P23" s="136"/>
      <c r="Q23" s="137"/>
      <c r="R23" s="137"/>
      <c r="S23"/>
      <c r="T23"/>
      <c r="U23"/>
      <c r="V23"/>
      <c r="W23"/>
      <c r="X23"/>
      <c r="Y23"/>
      <c r="Z23"/>
      <c r="AA23" s="6"/>
      <c r="AB23" s="6"/>
      <c r="AC23" s="6"/>
      <c r="AD23" s="7"/>
    </row>
    <row r="24" spans="1:30" ht="35.1" customHeight="1">
      <c r="A24" s="514" t="s">
        <v>153</v>
      </c>
      <c r="B24" s="511" t="s">
        <v>154</v>
      </c>
      <c r="C24" s="209" t="s">
        <v>133</v>
      </c>
      <c r="D24" s="210" t="s">
        <v>124</v>
      </c>
      <c r="E24" s="588" t="s">
        <v>125</v>
      </c>
      <c r="F24" s="589"/>
      <c r="G24" s="184"/>
      <c r="H24" s="184"/>
      <c r="I24" s="184"/>
      <c r="J24" s="146" t="str">
        <f>IF('Proj Info'!$B$48=" "," ",'Proj Info'!$B$48)</f>
        <v>90-100</v>
      </c>
      <c r="K24" s="184"/>
      <c r="L24" s="184"/>
      <c r="M24" s="146" t="str">
        <f>IF('Proj Info'!$B$51=" "," ",'Proj Info'!$B$51)</f>
        <v/>
      </c>
      <c r="N24" s="184"/>
      <c r="O24" s="174" t="s">
        <v>58</v>
      </c>
      <c r="P24" s="136"/>
      <c r="Q24" s="137"/>
      <c r="R24" s="137"/>
      <c r="S24"/>
      <c r="T24"/>
      <c r="U24"/>
      <c r="V24"/>
      <c r="W24"/>
      <c r="X24"/>
      <c r="Y24"/>
      <c r="Z24"/>
      <c r="AA24" s="6"/>
      <c r="AB24" s="6"/>
      <c r="AC24" s="6"/>
      <c r="AD24" s="7"/>
    </row>
    <row r="25" spans="1:30" ht="35.1" customHeight="1">
      <c r="A25" s="516" t="str">
        <f>IF('Proj Info'!$B31="","",('Proj Info'!$B31))</f>
        <v/>
      </c>
      <c r="B25" s="208" t="str">
        <f>IF('Proj Info'!$B32="","",('Proj Info'!$B32))</f>
        <v/>
      </c>
      <c r="C25" s="183" t="str">
        <f>IF('Proj Info'!$B$8="","",IF(OR('Proj Info'!$B$8="QMC",'Proj Info'!$B$8="BR",'Proj Info'!$B$8="HPC-D"),'HPC-D Mix'!E5*100))</f>
        <v/>
      </c>
      <c r="D25" s="517" t="str">
        <f>IF('Grad 1'!$B$1="","",'Grad 1'!$B$1)</f>
        <v/>
      </c>
      <c r="E25" s="590" t="str">
        <f>IF('Grad 1'!$B$20=" "," ",'Grad 1'!$B$20)</f>
        <v xml:space="preserve"> </v>
      </c>
      <c r="F25" s="584"/>
      <c r="G25" s="145" t="str">
        <f>IF('Grad 1'!$I$22=" "," ",'Grad 1'!$I$22)</f>
        <v xml:space="preserve"> </v>
      </c>
      <c r="H25" s="145" t="str">
        <f>IF('Grad 1'!$I$23=" "," ",'Grad 1'!$I$23)</f>
        <v xml:space="preserve"> </v>
      </c>
      <c r="I25" s="145" t="str">
        <f>IF('Grad 1'!$I$24=" "," ",'Grad 1'!$I$24)</f>
        <v xml:space="preserve"> </v>
      </c>
      <c r="J25" s="145" t="str">
        <f>IF('Grad 1'!$I$25=" "," ",'Grad 1'!$I$25)</f>
        <v xml:space="preserve"> </v>
      </c>
      <c r="K25" s="145" t="str">
        <f>IF('Grad 1'!$I$26=" "," ",'Grad 1'!$I$26)</f>
        <v xml:space="preserve"> </v>
      </c>
      <c r="L25" s="145" t="str">
        <f>IF('Grad 1'!$I$27=" "," ",'Grad 1'!$I$27)</f>
        <v xml:space="preserve"> </v>
      </c>
      <c r="M25" s="145" t="str">
        <f>IF('Grad 1'!$I$28=" "," ",'Grad 1'!$I$28)</f>
        <v xml:space="preserve"> </v>
      </c>
      <c r="N25" s="145" t="str">
        <f>IF('Grad 1'!$I$31=" "," ",'Grad 1'!$I$31)</f>
        <v xml:space="preserve"> </v>
      </c>
      <c r="O25" s="146" t="str">
        <f>IF('Grad 1'!$B$35=" "," ",'Grad 1'!$B$35)</f>
        <v xml:space="preserve"> </v>
      </c>
      <c r="P25" s="136"/>
      <c r="Q25" s="137"/>
      <c r="R25" s="137"/>
      <c r="S25"/>
      <c r="T25"/>
      <c r="U25"/>
      <c r="V25"/>
      <c r="W25"/>
      <c r="X25"/>
      <c r="Y25"/>
      <c r="Z25"/>
      <c r="AA25" s="6"/>
      <c r="AB25" s="6"/>
      <c r="AC25" s="6"/>
      <c r="AD25" s="7"/>
    </row>
    <row r="26" spans="1:30" ht="35.1" customHeight="1">
      <c r="A26" s="514" t="str">
        <f>IF('HPC-D Mix'!B12="","",'HPC-D Mix'!B12)</f>
        <v/>
      </c>
      <c r="B26" s="146" t="str">
        <f>IF('HPC-D Mix'!C12="","",'HPC-D Mix'!C12)</f>
        <v/>
      </c>
      <c r="C26" s="183" t="str">
        <f>IF('Proj Info'!$B$8="","",IF(OR('Proj Info'!$B$8="QMC",'Proj Info'!$B$8="BR",'Proj Info'!$B$8="HPC-D"),'HPC-D Mix'!E12*100))</f>
        <v/>
      </c>
      <c r="D26" s="517" t="str">
        <f>IF('Grad 2'!$B$1="","",'Grad 2'!$B$1)</f>
        <v/>
      </c>
      <c r="E26" s="590" t="str">
        <f>IF('Grad 2'!$B$20=" "," ",'Grad 2'!$B$20)</f>
        <v xml:space="preserve"> </v>
      </c>
      <c r="F26" s="584"/>
      <c r="G26" s="145" t="str">
        <f>IF('Grad 2'!$I$22=" "," ",'Grad 2'!$I$22)</f>
        <v xml:space="preserve"> </v>
      </c>
      <c r="H26" s="145" t="str">
        <f>IF('Grad 2'!$I$23=" "," ",'Grad 2'!$I$23)</f>
        <v xml:space="preserve"> </v>
      </c>
      <c r="I26" s="145" t="str">
        <f>IF('Grad 2'!$I$24=" "," ",'Grad 2'!$I$24)</f>
        <v xml:space="preserve"> </v>
      </c>
      <c r="J26" s="145" t="str">
        <f>IF('Grad 2'!$I$25=" "," ",'Grad 2'!$I$25)</f>
        <v xml:space="preserve"> </v>
      </c>
      <c r="K26" s="145" t="str">
        <f>IF('Grad 2'!$I$26=" "," ",'Grad 2'!$I$26)</f>
        <v xml:space="preserve"> </v>
      </c>
      <c r="L26" s="145" t="str">
        <f>IF('Grad 2'!$I$27=" "," ",'Grad 2'!$I$27)</f>
        <v xml:space="preserve"> </v>
      </c>
      <c r="M26" s="145" t="str">
        <f>IF('Grad 2'!$I$28=" "," ",'Grad 2'!$I$28)</f>
        <v xml:space="preserve"> </v>
      </c>
      <c r="N26" s="145" t="str">
        <f>IF('Grad 2'!$I$31=" "," ",'Grad 2'!$I$31)</f>
        <v xml:space="preserve"> </v>
      </c>
      <c r="O26" s="146" t="str">
        <f>IF('Grad 2'!$B$35=" "," ",'Grad 2'!$B$35)</f>
        <v xml:space="preserve"> </v>
      </c>
      <c r="P26" s="154"/>
      <c r="Q26" s="137"/>
      <c r="R26" s="137"/>
      <c r="S26"/>
      <c r="T26"/>
      <c r="U26"/>
      <c r="V26"/>
      <c r="W26"/>
      <c r="X26"/>
      <c r="Y26"/>
      <c r="Z26"/>
      <c r="AA26" s="6"/>
      <c r="AB26" s="6"/>
      <c r="AC26" s="6"/>
      <c r="AD26" s="7"/>
    </row>
    <row r="27" spans="1:30" ht="35.1" customHeight="1">
      <c r="A27" s="514" t="str">
        <f>IF('HPC-D Mix'!B19="","",'HPC-D Mix'!B19)</f>
        <v/>
      </c>
      <c r="B27" s="146" t="str">
        <f>IF('HPC-D Mix'!C19="","",'HPC-D Mix'!C19)</f>
        <v/>
      </c>
      <c r="C27" s="183" t="str">
        <f>IF('Proj Info'!$B$8="","",IF(OR('Proj Info'!$B$8="QMC",'Proj Info'!$B$8="BR",'Proj Info'!$B$8="HPC-D"),'HPC-D Mix'!E19*100))</f>
        <v/>
      </c>
      <c r="D27" s="517" t="str">
        <f>IF('Grad 3'!$B$1="","",'Grad 3'!$B$1)</f>
        <v/>
      </c>
      <c r="E27" s="590" t="str">
        <f>IF('Grad 3'!$B$20=" "," ",'Grad 3'!$B$20)</f>
        <v xml:space="preserve"> </v>
      </c>
      <c r="F27" s="584"/>
      <c r="G27" s="145" t="str">
        <f>IF('Grad 3'!$I$22=" "," ",'Grad 3'!$I$22)</f>
        <v xml:space="preserve"> </v>
      </c>
      <c r="H27" s="145" t="str">
        <f>IF('Grad 3'!$I$23=" "," ",'Grad 3'!$I$23)</f>
        <v xml:space="preserve"> </v>
      </c>
      <c r="I27" s="145" t="str">
        <f>IF('Grad 3'!$I$24=" "," ",'Grad 3'!$I$24)</f>
        <v xml:space="preserve"> </v>
      </c>
      <c r="J27" s="145" t="str">
        <f>IF('Grad 3'!$I$25=" "," ",'Grad 3'!$I$25)</f>
        <v xml:space="preserve"> </v>
      </c>
      <c r="K27" s="145" t="str">
        <f>IF('Grad 3'!$I$26=" "," ",'Grad 3'!$I$26)</f>
        <v xml:space="preserve"> </v>
      </c>
      <c r="L27" s="145" t="str">
        <f>IF('Grad 3'!$I$27=" "," ",'Grad 3'!$I$27)</f>
        <v xml:space="preserve"> </v>
      </c>
      <c r="M27" s="145" t="str">
        <f>IF('Grad 3'!$I$28=" "," ",'Grad 3'!$I$28)</f>
        <v xml:space="preserve"> </v>
      </c>
      <c r="N27" s="145" t="str">
        <f>IF('Grad 3'!$I$31=" "," ",'Grad 3'!$I$31)</f>
        <v xml:space="preserve"> </v>
      </c>
      <c r="O27" s="146" t="str">
        <f>IF('Grad 3'!$B$35=" "," ",'Grad 3'!$B$35)</f>
        <v xml:space="preserve"> </v>
      </c>
      <c r="P27" s="154"/>
      <c r="Q27" s="137"/>
      <c r="R27" s="137"/>
      <c r="S27"/>
      <c r="T27"/>
      <c r="U27"/>
      <c r="V27"/>
      <c r="W27"/>
      <c r="X27"/>
      <c r="Y27"/>
      <c r="Z27"/>
      <c r="AB27" s="6"/>
      <c r="AC27" s="6"/>
      <c r="AD27" s="7"/>
    </row>
    <row r="28" spans="1:30" ht="35.1" customHeight="1">
      <c r="A28" s="514" t="str">
        <f>IF('HPC-D Mix'!B26="","",'HPC-D Mix'!B26)</f>
        <v/>
      </c>
      <c r="B28" s="146" t="str">
        <f>IF('HPC-D Mix'!C26="","",'HPC-D Mix'!C26)</f>
        <v/>
      </c>
      <c r="C28" s="183" t="str">
        <f>IF('Proj Info'!$B$8="","",IF(OR('Proj Info'!$B$8="QMC",'Proj Info'!$B$8="BR",'Proj Info'!$B$8="HPC-D"),'HPC-D Mix'!E26*100))</f>
        <v/>
      </c>
      <c r="D28" s="517" t="str">
        <f>IF('Grad 4'!$B$1="","",'Grad 4'!$B$1)</f>
        <v/>
      </c>
      <c r="E28" s="590" t="str">
        <f>IF('Grad 4'!$B$20=" "," ",'Grad 4'!$B$20)</f>
        <v xml:space="preserve"> </v>
      </c>
      <c r="F28" s="584"/>
      <c r="G28" s="145" t="str">
        <f>IF('Grad 4'!$I$22=" "," ",'Grad 4'!$I$22)</f>
        <v xml:space="preserve"> </v>
      </c>
      <c r="H28" s="145" t="str">
        <f>IF('Grad 4'!$I$23=" "," ",'Grad 4'!$I$23)</f>
        <v xml:space="preserve"> </v>
      </c>
      <c r="I28" s="145" t="str">
        <f>IF('Grad 4'!$I$24=" "," ",'Grad 4'!$I$24)</f>
        <v xml:space="preserve"> </v>
      </c>
      <c r="J28" s="145" t="str">
        <f>IF('Grad 4'!$I$25=" "," ",'Grad 4'!$I$25)</f>
        <v xml:space="preserve"> </v>
      </c>
      <c r="K28" s="145" t="str">
        <f>IF('Grad 4'!$I$26=" "," ",'Grad 4'!$I$26)</f>
        <v xml:space="preserve"> </v>
      </c>
      <c r="L28" s="145" t="str">
        <f>IF('Grad 4'!$I$27=" "," ",'Grad 4'!$I$27)</f>
        <v xml:space="preserve"> </v>
      </c>
      <c r="M28" s="145" t="str">
        <f>IF('Grad 4'!$I$28=" "," ",'Grad 4'!$I$28)</f>
        <v xml:space="preserve"> </v>
      </c>
      <c r="N28" s="145" t="str">
        <f>IF('Grad 4'!$I$31=" "," ",'Grad 4'!$I$31)</f>
        <v xml:space="preserve"> </v>
      </c>
      <c r="O28" s="146" t="str">
        <f>IF('Grad 4'!$B$35=" "," ",'Grad 4'!$B$35)</f>
        <v xml:space="preserve"> </v>
      </c>
      <c r="P28" s="154"/>
      <c r="Q28" s="137"/>
      <c r="R28" s="137"/>
      <c r="S28"/>
      <c r="T28"/>
      <c r="U28"/>
      <c r="V28"/>
      <c r="W28"/>
      <c r="X28"/>
      <c r="Y28"/>
      <c r="Z28"/>
      <c r="AB28" s="6"/>
      <c r="AC28" s="6"/>
      <c r="AD28" s="7"/>
    </row>
    <row r="29" spans="1:30" ht="35.1" customHeight="1">
      <c r="A29" s="514" t="str">
        <f>IF('HPC-D Mix'!B33="","",'HPC-D Mix'!B33)</f>
        <v/>
      </c>
      <c r="B29" s="146" t="str">
        <f>IF('HPC-D Mix'!C33="","",'HPC-D Mix'!C33)</f>
        <v/>
      </c>
      <c r="C29" s="183" t="str">
        <f>IF('Proj Info'!$B$8="","",IF(OR('Proj Info'!$B$8="QMC",'Proj Info'!$B$8="BR",'Proj Info'!$B$8="HPC-D"),'HPC-D Mix'!E33*100))</f>
        <v/>
      </c>
      <c r="D29" s="517" t="str">
        <f>IF('Grad 5'!$B$1="","",'Grad 5'!$B$1)</f>
        <v/>
      </c>
      <c r="E29" s="590" t="str">
        <f>IF('Grad 5'!$B$20=" "," ",'Grad 5'!$B$20)</f>
        <v xml:space="preserve"> </v>
      </c>
      <c r="F29" s="584"/>
      <c r="G29" s="145" t="str">
        <f>IF('Grad 5'!$I$22=" "," ",'Grad 5'!$I$22)</f>
        <v xml:space="preserve"> </v>
      </c>
      <c r="H29" s="145" t="str">
        <f>IF('Grad 5'!$I$23=" "," ",'Grad 5'!$I$23)</f>
        <v xml:space="preserve"> </v>
      </c>
      <c r="I29" s="145" t="str">
        <f>IF('Grad 5'!$I$24=" "," ",'Grad 5'!$I$24)</f>
        <v xml:space="preserve"> </v>
      </c>
      <c r="J29" s="145" t="str">
        <f>IF('Grad 5'!$I$25=" "," ",'Grad 5'!$I$25)</f>
        <v xml:space="preserve"> </v>
      </c>
      <c r="K29" s="145" t="str">
        <f>IF('Grad 5'!$I$26=" "," ",'Grad 5'!$I$26)</f>
        <v xml:space="preserve"> </v>
      </c>
      <c r="L29" s="145" t="str">
        <f>IF('Grad 5'!$I$27=" "," ",'Grad 5'!$I$27)</f>
        <v xml:space="preserve"> </v>
      </c>
      <c r="M29" s="145" t="str">
        <f>IF('Grad 5'!$I$28=" "," ",'Grad 5'!$I$28)</f>
        <v xml:space="preserve"> </v>
      </c>
      <c r="N29" s="145" t="str">
        <f>IF('Grad 5'!$I$31=" "," ",'Grad 5'!$I$31)</f>
        <v xml:space="preserve"> </v>
      </c>
      <c r="O29" s="146" t="str">
        <f>IF('Grad 5'!$B$35=" "," ",'Grad 5'!$B$35)</f>
        <v xml:space="preserve"> </v>
      </c>
      <c r="P29" s="154"/>
      <c r="Q29" s="137"/>
      <c r="R29" s="137"/>
      <c r="S29"/>
      <c r="T29"/>
      <c r="U29"/>
      <c r="V29"/>
      <c r="W29"/>
      <c r="X29"/>
      <c r="Y29"/>
      <c r="Z29"/>
      <c r="AB29" s="6"/>
      <c r="AC29" s="6"/>
      <c r="AD29" s="7"/>
    </row>
    <row r="30" spans="1:30" customFormat="1" ht="35.1" customHeight="1">
      <c r="A30" s="141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</row>
    <row r="31" spans="1:30" customFormat="1" ht="35.1" customHeight="1">
      <c r="A31" s="141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</row>
    <row r="32" spans="1:30" ht="35.1" customHeight="1">
      <c r="A32" s="582" t="s">
        <v>129</v>
      </c>
      <c r="B32" s="583"/>
      <c r="C32" s="583"/>
      <c r="D32" s="583"/>
      <c r="E32" s="583"/>
      <c r="F32" s="584"/>
      <c r="G32" s="175" t="s">
        <v>68</v>
      </c>
      <c r="H32" s="175" t="s">
        <v>69</v>
      </c>
      <c r="I32" s="175" t="s">
        <v>70</v>
      </c>
      <c r="J32" s="175" t="s">
        <v>71</v>
      </c>
      <c r="K32" s="175" t="s">
        <v>72</v>
      </c>
      <c r="L32" s="175" t="s">
        <v>73</v>
      </c>
      <c r="M32" s="175" t="s">
        <v>74</v>
      </c>
      <c r="N32" s="175" t="s">
        <v>75</v>
      </c>
      <c r="O32" s="175" t="s">
        <v>17</v>
      </c>
      <c r="P32" s="154"/>
      <c r="Q32" s="136"/>
      <c r="R32" s="137"/>
      <c r="S32"/>
      <c r="T32"/>
      <c r="U32"/>
      <c r="V32"/>
      <c r="W32"/>
      <c r="X32"/>
      <c r="Y32"/>
      <c r="Z32"/>
      <c r="AB32" s="6"/>
      <c r="AC32" s="6"/>
      <c r="AD32" s="7"/>
    </row>
    <row r="33" spans="1:30" ht="35.1" customHeight="1">
      <c r="A33" s="140"/>
      <c r="C33" s="512"/>
      <c r="D33" s="515"/>
      <c r="E33" s="140" t="s">
        <v>155</v>
      </c>
      <c r="F33" s="211">
        <f>IF('Proj Info'!$B$36=" "," ",'Proj Info'!$B$36)</f>
        <v>1</v>
      </c>
      <c r="G33" s="126" t="s">
        <v>114</v>
      </c>
      <c r="H33" s="126" t="s">
        <v>116</v>
      </c>
      <c r="I33" s="126" t="s">
        <v>117</v>
      </c>
      <c r="J33" s="126" t="s">
        <v>118</v>
      </c>
      <c r="K33" s="126" t="s">
        <v>120</v>
      </c>
      <c r="L33" s="161" t="s">
        <v>121</v>
      </c>
      <c r="M33" s="161" t="s">
        <v>122</v>
      </c>
      <c r="N33" s="161" t="s">
        <v>123</v>
      </c>
      <c r="O33" s="126" t="s">
        <v>119</v>
      </c>
      <c r="P33" s="143" t="s">
        <v>57</v>
      </c>
      <c r="Q33" s="136"/>
      <c r="R33" s="137"/>
      <c r="S33"/>
      <c r="T33"/>
      <c r="U33"/>
      <c r="V33"/>
      <c r="W33"/>
      <c r="X33"/>
      <c r="Y33"/>
      <c r="Z33"/>
      <c r="AB33" s="6"/>
      <c r="AC33" s="6"/>
      <c r="AD33" s="7"/>
    </row>
    <row r="34" spans="1:30" ht="35.1" customHeight="1">
      <c r="A34" s="514" t="s">
        <v>153</v>
      </c>
      <c r="B34" s="511" t="s">
        <v>154</v>
      </c>
      <c r="C34" s="209" t="s">
        <v>133</v>
      </c>
      <c r="D34" s="210" t="s">
        <v>124</v>
      </c>
      <c r="E34" s="588" t="s">
        <v>125</v>
      </c>
      <c r="F34" s="589"/>
      <c r="G34" s="144"/>
      <c r="H34" s="146" t="str">
        <f>IF('Proj Info'!$B$53=" "," ",'Proj Info'!$B$53)</f>
        <v>100</v>
      </c>
      <c r="I34" s="146" t="str">
        <f>IF('Proj Info'!$B$54=" "," ",'Proj Info'!$B$54)</f>
        <v>90-100</v>
      </c>
      <c r="J34" s="146" t="str">
        <f>IF('Proj Info'!$B$55=" "," ",'Proj Info'!$B$55)</f>
        <v>70-100</v>
      </c>
      <c r="K34" s="148"/>
      <c r="L34" s="146" t="str">
        <f>IF('Proj Info'!$B$56=" "," ",'Proj Info'!$B$56)</f>
        <v>10-60</v>
      </c>
      <c r="M34" s="148"/>
      <c r="N34" s="148"/>
      <c r="O34" s="146" t="str">
        <f>IF('Proj Info'!$B$57=" "," ",'Proj Info'!$B$57)</f>
        <v>0-1.5</v>
      </c>
      <c r="P34" s="149" t="s">
        <v>58</v>
      </c>
      <c r="Q34" s="136"/>
      <c r="R34" s="137"/>
      <c r="S34"/>
      <c r="T34"/>
      <c r="U34"/>
      <c r="V34"/>
      <c r="W34"/>
      <c r="X34"/>
      <c r="Y34"/>
      <c r="Z34"/>
      <c r="AB34" s="6"/>
      <c r="AC34" s="6"/>
      <c r="AD34" s="7"/>
    </row>
    <row r="35" spans="1:30" ht="35.1" customHeight="1">
      <c r="A35" s="211" t="str">
        <f>IF('Proj Info'!$B34="","",('Proj Info'!$B34))</f>
        <v/>
      </c>
      <c r="B35" s="208" t="str">
        <f>IF('Proj Info'!$B35="","",('Proj Info'!$B35))</f>
        <v/>
      </c>
      <c r="C35" s="183" t="str">
        <f>IF('Proj Info'!$B$8="","",IF(OR('Proj Info'!$B$8="QMC",'Proj Info'!$B$8="BR",'Proj Info'!$B$8="HPC-D"),'HPC-D Mix'!E6*100))</f>
        <v/>
      </c>
      <c r="D35" s="517" t="str">
        <f>IF('Grad 1'!$B$1="","",'Grad 1'!$B$1)</f>
        <v/>
      </c>
      <c r="E35" s="591" t="str">
        <f>IF('Grad 1'!$B$38=" "," ",'Grad 1'!$B$38)</f>
        <v xml:space="preserve"> </v>
      </c>
      <c r="F35" s="584"/>
      <c r="G35" s="145" t="str">
        <f>IF(H35=100,"",IF('Grad 1'!$I$41=" "," ",'Grad 1'!$I$41))</f>
        <v xml:space="preserve"> </v>
      </c>
      <c r="H35" s="145" t="str">
        <f>IF('Grad 1'!$I$42=" "," ",'Grad 1'!$I$42)</f>
        <v xml:space="preserve"> </v>
      </c>
      <c r="I35" s="145" t="str">
        <f>IF('Grad 1'!$I$43=" "," ",'Grad 1'!$I$43)</f>
        <v xml:space="preserve"> </v>
      </c>
      <c r="J35" s="145" t="str">
        <f>IF('Grad 1'!$I$44=" "," ",'Grad 1'!$I$44)</f>
        <v xml:space="preserve"> </v>
      </c>
      <c r="K35" s="145" t="str">
        <f>IF('Grad 1'!$I$45=" "," ",'Grad 1'!$I$45)</f>
        <v xml:space="preserve"> </v>
      </c>
      <c r="L35" s="145" t="str">
        <f>IF('Grad 1'!$I$46=" "," ",'Grad 1'!$I$46)</f>
        <v xml:space="preserve"> </v>
      </c>
      <c r="M35" s="145" t="str">
        <f>IF('Grad 1'!$I$47=" "," ",'Grad 1'!$I$47)</f>
        <v xml:space="preserve"> </v>
      </c>
      <c r="N35" s="145" t="str">
        <f>IF('Grad 1'!$I$48=" "," ",'Grad 1'!$I$48)</f>
        <v xml:space="preserve"> </v>
      </c>
      <c r="O35" s="145" t="str">
        <f>IF('Grad 1'!$I$49=" "," ",'Grad 1'!$I$49)</f>
        <v xml:space="preserve"> </v>
      </c>
      <c r="P35" s="146" t="str">
        <f>IF('Grad 1'!$B$52=" "," ",'Grad 1'!$B$52)</f>
        <v xml:space="preserve"> </v>
      </c>
      <c r="Q35" s="136"/>
      <c r="R35" s="137"/>
      <c r="S35"/>
      <c r="T35"/>
      <c r="U35"/>
      <c r="V35"/>
      <c r="W35"/>
      <c r="X35"/>
      <c r="Y35"/>
      <c r="Z35"/>
      <c r="AB35" s="6"/>
      <c r="AC35" s="6"/>
      <c r="AD35" s="7"/>
    </row>
    <row r="36" spans="1:30" ht="35.1" customHeight="1">
      <c r="A36" s="514" t="str">
        <f>IF('HPC-D Mix'!B13="","",'HPC-D Mix'!B13)</f>
        <v/>
      </c>
      <c r="B36" s="146" t="str">
        <f>IF('HPC-D Mix'!C13="","",'HPC-D Mix'!C13)</f>
        <v/>
      </c>
      <c r="C36" s="183" t="str">
        <f>IF('Proj Info'!$B$8="","",IF(OR('Proj Info'!$B$8="QMC",'Proj Info'!$B$8="BR",'Proj Info'!$B$8="HPC-D"),'HPC-D Mix'!E13*100))</f>
        <v/>
      </c>
      <c r="D36" s="517" t="str">
        <f>IF('Grad 2'!$B$1="","",'Grad 2'!$B$1)</f>
        <v/>
      </c>
      <c r="E36" s="591" t="str">
        <f>IF('Grad 2'!$B$38=" "," ",'Grad 2'!$B$38)</f>
        <v xml:space="preserve"> </v>
      </c>
      <c r="F36" s="584"/>
      <c r="G36" s="145" t="str">
        <f>IF(H36=100,"",IF('Grad 2'!$I$41=" "," ",'Grad 2'!$I$41))</f>
        <v xml:space="preserve"> </v>
      </c>
      <c r="H36" s="145" t="str">
        <f>IF('Grad 2'!$I$42=" "," ",'Grad 2'!$I$42)</f>
        <v xml:space="preserve"> </v>
      </c>
      <c r="I36" s="145" t="str">
        <f>IF('Grad 2'!$I$43=" "," ",'Grad 2'!$I$43)</f>
        <v xml:space="preserve"> </v>
      </c>
      <c r="J36" s="145" t="str">
        <f>IF('Grad 2'!$I$44=" "," ",'Grad 2'!$I$44)</f>
        <v xml:space="preserve"> </v>
      </c>
      <c r="K36" s="145" t="str">
        <f>IF('Grad 2'!$I$45=" "," ",'Grad 2'!$I$45)</f>
        <v xml:space="preserve"> </v>
      </c>
      <c r="L36" s="145" t="str">
        <f>IF('Grad 2'!$I$46=" "," ",'Grad 2'!$I$46)</f>
        <v xml:space="preserve"> </v>
      </c>
      <c r="M36" s="145" t="str">
        <f>IF('Grad 2'!$I$47=" "," ",'Grad 2'!$I$47)</f>
        <v xml:space="preserve"> </v>
      </c>
      <c r="N36" s="145" t="str">
        <f>IF('Grad 2'!$I$48=" "," ",'Grad 2'!$I$48)</f>
        <v xml:space="preserve"> </v>
      </c>
      <c r="O36" s="145" t="str">
        <f>IF('Grad 2'!$I$49=" "," ",'Grad 2'!$I$49)</f>
        <v xml:space="preserve"> </v>
      </c>
      <c r="P36" s="146" t="str">
        <f>IF('Grad 2'!$B$52=" "," ",'Grad 2'!$B$52)</f>
        <v xml:space="preserve"> </v>
      </c>
      <c r="Q36" s="136"/>
      <c r="R36" s="136"/>
      <c r="S36" s="113"/>
      <c r="T36" s="107"/>
      <c r="U36"/>
      <c r="V36"/>
      <c r="W36"/>
      <c r="X36"/>
      <c r="Y36"/>
      <c r="Z36"/>
      <c r="AB36" s="6"/>
      <c r="AC36" s="6"/>
      <c r="AD36" s="7"/>
    </row>
    <row r="37" spans="1:30" ht="35.1" customHeight="1">
      <c r="A37" s="514" t="str">
        <f>IF('HPC-D Mix'!B20="","",'HPC-D Mix'!B20)</f>
        <v/>
      </c>
      <c r="B37" s="146" t="str">
        <f>IF('HPC-D Mix'!C20="","",'HPC-D Mix'!C20)</f>
        <v/>
      </c>
      <c r="C37" s="183" t="str">
        <f>IF('Proj Info'!$B$8="","",IF(OR('Proj Info'!$B$8="QMC",'Proj Info'!$B$8="BR",'Proj Info'!$B$8="HPC-D"),'HPC-D Mix'!E20*100))</f>
        <v/>
      </c>
      <c r="D37" s="517" t="str">
        <f>IF('Grad 3'!$B$1="","",'Grad 3'!$B$1)</f>
        <v/>
      </c>
      <c r="E37" s="591" t="str">
        <f>IF('Grad 3'!$B$38=" "," ",'Grad 3'!$B$38)</f>
        <v xml:space="preserve"> </v>
      </c>
      <c r="F37" s="584"/>
      <c r="G37" s="155" t="str">
        <f>IF(H37=100,"",IF('Grad 3'!$I$41=" "," ",'Grad 3'!$I$41))</f>
        <v xml:space="preserve"> </v>
      </c>
      <c r="H37" s="155" t="str">
        <f>IF('Grad 3'!$I$42=" "," ",'Grad 3'!$I$42)</f>
        <v xml:space="preserve"> </v>
      </c>
      <c r="I37" s="145" t="str">
        <f>IF('Grad 3'!$I$43=" "," ",'Grad 3'!$I$43)</f>
        <v xml:space="preserve"> </v>
      </c>
      <c r="J37" s="145" t="str">
        <f>IF('Grad 3'!$I$44=" "," ",'Grad 3'!$I$44)</f>
        <v xml:space="preserve"> </v>
      </c>
      <c r="K37" s="145" t="str">
        <f>IF('Grad 3'!$I$45=" "," ",'Grad 3'!$I$45)</f>
        <v xml:space="preserve"> </v>
      </c>
      <c r="L37" s="145" t="str">
        <f>IF('Grad 3'!$I$46=" "," ",'Grad 3'!$I$46)</f>
        <v xml:space="preserve"> </v>
      </c>
      <c r="M37" s="145" t="str">
        <f>IF('Grad 3'!$I$47=" "," ",'Grad 3'!$I$47)</f>
        <v xml:space="preserve"> </v>
      </c>
      <c r="N37" s="145" t="str">
        <f>IF('Grad 3'!$I$48=" "," ",'Grad 3'!$I$48)</f>
        <v xml:space="preserve"> </v>
      </c>
      <c r="O37" s="145" t="str">
        <f>IF('Grad 3'!$I$49=" "," ",'Grad 3'!$I$49)</f>
        <v xml:space="preserve"> </v>
      </c>
      <c r="P37" s="146" t="str">
        <f>IF('Grad 3'!$B$52=" "," ",'Grad 3'!$B$52)</f>
        <v xml:space="preserve"> </v>
      </c>
      <c r="Q37" s="136"/>
      <c r="R37" s="136"/>
      <c r="S37" s="113"/>
      <c r="T37" s="107"/>
      <c r="U37"/>
      <c r="V37"/>
      <c r="W37"/>
      <c r="X37"/>
      <c r="Y37"/>
      <c r="Z37"/>
      <c r="AB37" s="6"/>
      <c r="AC37" s="6"/>
      <c r="AD37" s="7"/>
    </row>
    <row r="38" spans="1:30" ht="35.1" customHeight="1">
      <c r="A38" s="514" t="str">
        <f>IF('HPC-D Mix'!B27="","",'HPC-D Mix'!B27)</f>
        <v/>
      </c>
      <c r="B38" s="146" t="str">
        <f>IF('HPC-D Mix'!C27="","",'HPC-D Mix'!C27)</f>
        <v/>
      </c>
      <c r="C38" s="183" t="str">
        <f>IF('Proj Info'!$B$8="","",IF(OR('Proj Info'!$B$8="QMC",'Proj Info'!$B$8="BR",'Proj Info'!$B$8="HPC-D"),'HPC-D Mix'!E27*100))</f>
        <v/>
      </c>
      <c r="D38" s="517" t="str">
        <f>IF('Grad 4'!$B$1="","",'Grad 4'!$B$1)</f>
        <v/>
      </c>
      <c r="E38" s="591" t="str">
        <f>IF('Grad 4'!$B$38=" "," ",'Grad 4'!$B$38)</f>
        <v xml:space="preserve"> </v>
      </c>
      <c r="F38" s="584"/>
      <c r="G38" s="155" t="str">
        <f>IF(H38=100,"",IF('Grad 4'!$I$41=" "," ",'Grad 4'!$I$41))</f>
        <v xml:space="preserve"> </v>
      </c>
      <c r="H38" s="155" t="str">
        <f>IF('Grad 4'!$I$42=" "," ",'Grad 4'!$I$42)</f>
        <v xml:space="preserve"> </v>
      </c>
      <c r="I38" s="145" t="str">
        <f>IF('Grad 4'!$I$43=" "," ",'Grad 4'!$I$43)</f>
        <v xml:space="preserve"> </v>
      </c>
      <c r="J38" s="145" t="str">
        <f>IF('Grad 4'!$I$44=" "," ",'Grad 4'!$I$44)</f>
        <v xml:space="preserve"> </v>
      </c>
      <c r="K38" s="145" t="str">
        <f>IF('Grad 4'!$I$45=" "," ",'Grad 4'!$I$45)</f>
        <v xml:space="preserve"> </v>
      </c>
      <c r="L38" s="145" t="str">
        <f>IF('Grad 4'!$I$46=" "," ",'Grad 4'!$I$46)</f>
        <v xml:space="preserve"> </v>
      </c>
      <c r="M38" s="145" t="str">
        <f>IF('Grad 4'!$I$47=" "," ",'Grad 4'!$I$47)</f>
        <v xml:space="preserve"> </v>
      </c>
      <c r="N38" s="145" t="str">
        <f>IF('Grad 4'!$I$48=" "," ",'Grad 4'!$I$48)</f>
        <v xml:space="preserve"> </v>
      </c>
      <c r="O38" s="145" t="str">
        <f>IF('Grad 4'!$I$49=" "," ",'Grad 4'!$I$49)</f>
        <v xml:space="preserve"> </v>
      </c>
      <c r="P38" s="146" t="str">
        <f>IF('Grad 4'!$B$52=" "," ",'Grad 4'!$B$52)</f>
        <v xml:space="preserve"> </v>
      </c>
      <c r="Q38" s="136"/>
      <c r="R38" s="136"/>
      <c r="S38" s="113"/>
      <c r="T38" s="107"/>
      <c r="U38"/>
      <c r="V38"/>
      <c r="W38"/>
      <c r="X38"/>
      <c r="Y38"/>
      <c r="Z38"/>
      <c r="AB38" s="6"/>
      <c r="AC38" s="6"/>
      <c r="AD38" s="7"/>
    </row>
    <row r="39" spans="1:30" ht="35.1" customHeight="1">
      <c r="A39" s="514" t="str">
        <f>IF('HPC-D Mix'!B34="","",'HPC-D Mix'!B34)</f>
        <v/>
      </c>
      <c r="B39" s="146" t="str">
        <f>IF('HPC-D Mix'!C34="","",'HPC-D Mix'!C34)</f>
        <v/>
      </c>
      <c r="C39" s="183" t="str">
        <f>IF('Proj Info'!$B$8="","",IF(OR('Proj Info'!$B$8="QMC",'Proj Info'!$B$8="BR",'Proj Info'!$B$8="HPC-D"),'HPC-D Mix'!E34*100))</f>
        <v/>
      </c>
      <c r="D39" s="517" t="str">
        <f>IF('Grad 5'!$B$1="","",'Grad 5'!$B$1)</f>
        <v/>
      </c>
      <c r="E39" s="591" t="str">
        <f>IF('Grad 5'!$B$38=" "," ",'Grad 5'!$B$38)</f>
        <v xml:space="preserve"> </v>
      </c>
      <c r="F39" s="584"/>
      <c r="G39" s="155" t="str">
        <f>IF(H39=100,"",IF('Grad 5'!$I$41=" "," ",'Grad 5'!$I$41))</f>
        <v xml:space="preserve"> </v>
      </c>
      <c r="H39" s="155" t="str">
        <f>IF('Grad 5'!$I$42=" "," ",'Grad 5'!$I$42)</f>
        <v xml:space="preserve"> </v>
      </c>
      <c r="I39" s="145" t="str">
        <f>IF('Grad 5'!$I$43=" "," ",'Grad 5'!$I$43)</f>
        <v xml:space="preserve"> </v>
      </c>
      <c r="J39" s="145" t="str">
        <f>IF('Grad 5'!$I$44=" "," ",'Grad 5'!$I$44)</f>
        <v xml:space="preserve"> </v>
      </c>
      <c r="K39" s="145" t="str">
        <f>IF('Grad 5'!$I$45=" "," ",'Grad 5'!$I$45)</f>
        <v xml:space="preserve"> </v>
      </c>
      <c r="L39" s="145" t="str">
        <f>IF('Grad 5'!$I$46=" "," ",'Grad 5'!$I$46)</f>
        <v xml:space="preserve"> </v>
      </c>
      <c r="M39" s="145" t="str">
        <f>IF('Grad 5'!$I$47=" "," ",'Grad 5'!$I$47)</f>
        <v xml:space="preserve"> </v>
      </c>
      <c r="N39" s="145" t="str">
        <f>IF('Grad 5'!$I$48=" "," ",'Grad 5'!$I$48)</f>
        <v xml:space="preserve"> </v>
      </c>
      <c r="O39" s="145" t="str">
        <f>IF('Grad 5'!$I$49=" "," ",'Grad 5'!$I$49)</f>
        <v xml:space="preserve"> </v>
      </c>
      <c r="P39" s="146" t="str">
        <f>IF('Grad 5'!$B$52=" "," ",'Grad 5'!$B$52)</f>
        <v xml:space="preserve"> </v>
      </c>
      <c r="Q39" s="136"/>
      <c r="R39" s="136"/>
      <c r="S39" s="113"/>
      <c r="T39" s="107"/>
      <c r="U39"/>
      <c r="V39"/>
      <c r="W39"/>
      <c r="X39"/>
      <c r="Y39"/>
      <c r="Z39"/>
      <c r="AB39" s="6"/>
      <c r="AC39" s="6"/>
      <c r="AD39" s="7"/>
    </row>
    <row r="40" spans="1:30" ht="35.1" customHeight="1">
      <c r="B40" s="137"/>
      <c r="C40" s="137"/>
      <c r="D40" s="151"/>
      <c r="E40" s="151"/>
      <c r="F40" s="151"/>
      <c r="G40" s="151"/>
      <c r="H40" s="151"/>
      <c r="I40" s="153"/>
      <c r="J40" s="153"/>
      <c r="K40" s="153"/>
      <c r="L40" s="153"/>
      <c r="M40" s="153"/>
      <c r="N40" s="153"/>
      <c r="O40" s="153"/>
      <c r="P40" s="150"/>
      <c r="Q40" s="136"/>
      <c r="R40" s="136"/>
      <c r="S40" s="113"/>
      <c r="T40" s="107"/>
      <c r="U40"/>
      <c r="V40"/>
      <c r="W40"/>
      <c r="X40"/>
      <c r="Y40"/>
      <c r="Z40"/>
      <c r="AB40" s="6"/>
      <c r="AC40" s="6"/>
      <c r="AD40" s="7"/>
    </row>
    <row r="41" spans="1:30" ht="35.1" customHeight="1">
      <c r="B41" s="137"/>
      <c r="C41" s="137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13"/>
      <c r="T41" s="107"/>
      <c r="U41"/>
      <c r="V41"/>
      <c r="W41"/>
      <c r="X41"/>
      <c r="Y41"/>
      <c r="Z41"/>
      <c r="AB41" s="6"/>
      <c r="AC41" s="6"/>
      <c r="AD41" s="7"/>
    </row>
    <row r="42" spans="1:30" ht="35.1" customHeight="1">
      <c r="A42" s="163" t="s">
        <v>132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5"/>
      <c r="N42" s="564" t="s">
        <v>134</v>
      </c>
      <c r="O42" s="564" t="s">
        <v>135</v>
      </c>
      <c r="P42" s="564" t="s">
        <v>136</v>
      </c>
      <c r="Q42" s="166"/>
      <c r="R42" s="136"/>
      <c r="S42" s="113"/>
      <c r="T42" s="107"/>
      <c r="U42"/>
      <c r="V42"/>
      <c r="W42"/>
      <c r="X42"/>
      <c r="Y42"/>
      <c r="Z42"/>
      <c r="AB42" s="6"/>
      <c r="AC42" s="6"/>
      <c r="AD42" s="7"/>
    </row>
    <row r="43" spans="1:30" ht="35.1" customHeight="1">
      <c r="A43" s="176" t="s">
        <v>100</v>
      </c>
      <c r="B43" s="176" t="s">
        <v>66</v>
      </c>
      <c r="C43" s="176" t="s">
        <v>67</v>
      </c>
      <c r="D43" s="176" t="s">
        <v>68</v>
      </c>
      <c r="E43" s="176" t="s">
        <v>69</v>
      </c>
      <c r="F43" s="176" t="s">
        <v>70</v>
      </c>
      <c r="G43" s="176" t="s">
        <v>71</v>
      </c>
      <c r="H43" s="176" t="s">
        <v>72</v>
      </c>
      <c r="I43" s="176" t="s">
        <v>73</v>
      </c>
      <c r="J43" s="176" t="s">
        <v>74</v>
      </c>
      <c r="K43" s="176" t="s">
        <v>75</v>
      </c>
      <c r="L43" s="176" t="s">
        <v>17</v>
      </c>
      <c r="M43" s="156" t="s">
        <v>96</v>
      </c>
      <c r="N43" s="572"/>
      <c r="O43" s="565"/>
      <c r="P43" s="565"/>
      <c r="Q43" s="166"/>
      <c r="R43" s="136"/>
      <c r="S43" s="113"/>
      <c r="T43" s="107"/>
      <c r="U43" s="112"/>
      <c r="V43" s="127"/>
      <c r="W43" s="128"/>
      <c r="X43" s="127"/>
      <c r="Y43" s="124"/>
      <c r="Z43" s="124"/>
      <c r="AB43" s="6"/>
      <c r="AC43" s="6"/>
      <c r="AD43" s="7"/>
    </row>
    <row r="44" spans="1:30" ht="35.1" customHeight="1">
      <c r="A44" s="142" t="str">
        <f>IF($G$8="QMC",'Grad 1'!AE19,"  ")</f>
        <v xml:space="preserve">  </v>
      </c>
      <c r="B44" s="142" t="str">
        <f>IF($G$8="QMC",'Grad 1'!AE20,"  ")</f>
        <v xml:space="preserve">  </v>
      </c>
      <c r="C44" s="142" t="str">
        <f>IF($G$8="QMC",'Grad 1'!AE21,"  ")</f>
        <v xml:space="preserve">  </v>
      </c>
      <c r="D44" s="142" t="str">
        <f>IF($G$8="QMC",'Grad 1'!AE22,"  ")</f>
        <v xml:space="preserve">  </v>
      </c>
      <c r="E44" s="142" t="str">
        <f>IF($G$8="QMC",'Grad 1'!AE23,"  ")</f>
        <v xml:space="preserve">  </v>
      </c>
      <c r="F44" s="142" t="str">
        <f>IF($G$8="QMC",'Grad 1'!AE24,"  ")</f>
        <v xml:space="preserve">  </v>
      </c>
      <c r="G44" s="142" t="str">
        <f>IF($G$8="QMC",'Grad 1'!AE25,"  ")</f>
        <v xml:space="preserve">  </v>
      </c>
      <c r="H44" s="142" t="str">
        <f>IF($G$8="QMC",'Grad 1'!AE26,"  ")</f>
        <v xml:space="preserve">  </v>
      </c>
      <c r="I44" s="142" t="str">
        <f>IF($G$8="QMC",'Grad 1'!AE27,"  ")</f>
        <v xml:space="preserve">  </v>
      </c>
      <c r="J44" s="142" t="str">
        <f>IF($G$8="QMC",'Grad 1'!AE28,"  ")</f>
        <v xml:space="preserve">  </v>
      </c>
      <c r="K44" s="142" t="str">
        <f>IF($G$8="QMC",'Grad 1'!AE29,"  ")</f>
        <v xml:space="preserve">  </v>
      </c>
      <c r="L44" s="142" t="str">
        <f>IF($G$8="QMC",'Grad 1'!AE30,"  ")</f>
        <v xml:space="preserve">  </v>
      </c>
      <c r="M44" s="157" t="s">
        <v>93</v>
      </c>
      <c r="N44" s="573"/>
      <c r="O44" s="566"/>
      <c r="P44" s="566"/>
      <c r="Q44" s="166"/>
      <c r="R44" s="137"/>
      <c r="S44" s="105"/>
      <c r="T44"/>
      <c r="U44"/>
      <c r="V44"/>
      <c r="W44"/>
      <c r="X44"/>
      <c r="Y44"/>
      <c r="Z44" s="124"/>
      <c r="AB44" s="6"/>
      <c r="AC44" s="6"/>
      <c r="AD44" s="7"/>
    </row>
    <row r="45" spans="1:30" ht="35.1" customHeight="1">
      <c r="A45" s="145" t="str">
        <f>IF('Grad 1'!$X19="","",IF($G$8="BR",'Grad 1'!$Y19,IF($G$8="QMC",'Grad 1'!$Y19,IF($G$8="HPC-D",'Grad 1'!$Y19,""))))</f>
        <v/>
      </c>
      <c r="B45" s="145" t="str">
        <f>IF('Grad 1'!$X20="","",IF($G$8="BR",'Grad 1'!$Y20,IF($G$8="QMC",'Grad 1'!$Y20,IF($G$8="HPC-D",'Grad 1'!$Y20,""))))</f>
        <v/>
      </c>
      <c r="C45" s="145" t="str">
        <f>IF('Grad 1'!$X21="","",IF($G$8="BR",'Grad 1'!$Y21,IF($G$8="QMC",'Grad 1'!$Y21,IF($G$8="HPC-D",'Grad 1'!$Y21,""))))</f>
        <v/>
      </c>
      <c r="D45" s="145" t="str">
        <f>IF('Grad 1'!$X22="","",IF($G$8="BR",'Grad 1'!$Y22,IF($G$8="QMC",'Grad 1'!$Y22,IF($G$8="HPC-D",'Grad 1'!$Y22,""))))</f>
        <v/>
      </c>
      <c r="E45" s="145" t="str">
        <f>IF('Grad 1'!$X23="","",IF($G$8="BR",'Grad 1'!$Y23,IF($G$8="QMC",'Grad 1'!$Y23,IF($G$8="HPC-D",'Grad 1'!$Y23,""))))</f>
        <v/>
      </c>
      <c r="F45" s="145" t="str">
        <f>IF('Grad 1'!$X24="","",IF($G$8="BR",'Grad 1'!$Y24,IF($G$8="QMC",'Grad 1'!$Y24,IF($G$8="HPC-D",'Grad 1'!$Y24,""))))</f>
        <v/>
      </c>
      <c r="G45" s="145" t="str">
        <f>IF('Grad 1'!$X25="","",IF($G$8="BR",'Grad 1'!$Y25,IF($G$8="QMC",'Grad 1'!$Y25,IF($G$8="HPC-D",'Grad 1'!$Y25,""))))</f>
        <v/>
      </c>
      <c r="H45" s="145" t="str">
        <f>IF('Grad 1'!$X26="","",IF($G$8="BR",'Grad 1'!$Y26,IF($G$8="QMC",'Grad 1'!$Y26,IF($G$8="HPC-D",'Grad 1'!$Y26,""))))</f>
        <v/>
      </c>
      <c r="I45" s="145" t="str">
        <f>IF('Grad 1'!$X27="","",IF($G$8="BR",'Grad 1'!$Y27,IF($G$8="QMC",'Grad 1'!$Y27,IF($G$8="HPC-D",'Grad 1'!$Y27,""))))</f>
        <v/>
      </c>
      <c r="J45" s="145" t="str">
        <f>IF('Grad 1'!$X28="","",IF($G$8="BR",'Grad 1'!$Y28,IF($G$8="QMC",'Grad 1'!$Y28,IF($G$8="HPC-D",'Grad 1'!$Y28,""))))</f>
        <v/>
      </c>
      <c r="K45" s="145" t="str">
        <f>IF('Grad 1'!$X29="","",IF($G$8="BR",'Grad 1'!$Y29,IF($G$8="QMC",'Grad 1'!$Y29,IF($G$8="HPC-D",'Grad 1'!$Y29,""))))</f>
        <v/>
      </c>
      <c r="L45" s="145" t="str">
        <f>IF('Grad 1'!$X30="","",IF($G$8="BR",'Grad 1'!$Y30,IF($G$8="QMC",'Grad 1'!$Y30,IF($G$8="HPC-D",'Grad 1'!$Y30,""))))</f>
        <v/>
      </c>
      <c r="M45" s="157" t="str">
        <f>IF('Grad 1'!Y19="","",IF(G$8="QMC",'Grad 1'!$AE$31," "))</f>
        <v/>
      </c>
      <c r="N45" s="212" t="str">
        <f>IF($G$8="BR",'Grad 1'!$Y$32,IF($G$8="QMC",'Grad 1'!$Y$32,IF($G$8="HPC-D",'Grad 1'!$Y$32,"")))</f>
        <v/>
      </c>
      <c r="O45" s="212" t="str">
        <f>IF($G$8="BR",'Grad 1'!$Y$33,IF($G$8="QMC",'Grad 1'!$Y$33,IF($G$8="HPC-D",'Grad 1'!$Y$33,"")))</f>
        <v/>
      </c>
      <c r="P45" s="214"/>
      <c r="R45" s="137"/>
      <c r="S45" s="105"/>
      <c r="T45"/>
      <c r="U45"/>
      <c r="V45"/>
      <c r="W45"/>
      <c r="X45"/>
      <c r="Y45"/>
      <c r="Z45" s="124"/>
      <c r="AB45" s="6"/>
      <c r="AC45" s="6"/>
      <c r="AD45" s="7"/>
    </row>
    <row r="46" spans="1:30" ht="35.1" customHeight="1">
      <c r="A46" s="145" t="str">
        <f>IF('Grad 2'!$X19="","",IF($G$8="BR",'Grad 2'!$Y19,IF($G$8="QMC",'Grad 2'!$Y19,IF($G$8="HPC-D",'Grad 2'!$Y19,""))))</f>
        <v/>
      </c>
      <c r="B46" s="145" t="str">
        <f>IF('Grad 2'!$X20="","",IF($G$8="BR",'Grad 2'!$Y20,IF($G$8="QMC",'Grad 2'!$Y20,IF($G$8="HPC-D",'Grad 2'!$Y20,""))))</f>
        <v/>
      </c>
      <c r="C46" s="145" t="str">
        <f>IF('Grad 2'!$X21="","",IF($G$8="BR",'Grad 2'!$Y21,IF($G$8="QMC",'Grad 2'!$Y21,IF($G$8="HPC-D",'Grad 2'!$Y21,""))))</f>
        <v/>
      </c>
      <c r="D46" s="145" t="str">
        <f>IF('Grad 2'!$X22="","",IF($G$8="BR",'Grad 2'!$Y22,IF($G$8="QMC",'Grad 2'!$Y22,IF($G$8="HPC-D",'Grad 2'!$Y22,""))))</f>
        <v/>
      </c>
      <c r="E46" s="145" t="str">
        <f>IF('Grad 2'!$X23="","",IF($G$8="BR",'Grad 2'!$Y23,IF($G$8="QMC",'Grad 2'!$Y23,IF($G$8="HPC-D",'Grad 2'!$Y23,""))))</f>
        <v/>
      </c>
      <c r="F46" s="145" t="str">
        <f>IF('Grad 2'!$X24="","",IF($G$8="BR",'Grad 2'!$Y24,IF($G$8="QMC",'Grad 2'!$Y24,IF($G$8="HPC-D",'Grad 2'!$Y24,""))))</f>
        <v/>
      </c>
      <c r="G46" s="145" t="str">
        <f>IF('Grad 2'!$X25="","",IF($G$8="BR",'Grad 2'!$Y25,IF($G$8="QMC",'Grad 2'!$Y25,IF($G$8="HPC-D",'Grad 2'!$Y25,""))))</f>
        <v/>
      </c>
      <c r="H46" s="145" t="str">
        <f>IF('Grad 2'!$X26="","",IF($G$8="BR",'Grad 2'!$Y26,IF($G$8="QMC",'Grad 2'!$Y26,IF($G$8="HPC-D",'Grad 2'!$Y26,""))))</f>
        <v/>
      </c>
      <c r="I46" s="145" t="str">
        <f>IF('Grad 2'!$X27="","",IF($G$8="BR",'Grad 2'!$Y27,IF($G$8="QMC",'Grad 2'!$Y27,IF($G$8="HPC-D",'Grad 2'!$Y27,""))))</f>
        <v/>
      </c>
      <c r="J46" s="145" t="str">
        <f>IF('Grad 2'!$X28="","",IF($G$8="BR",'Grad 2'!$Y28,IF($G$8="QMC",'Grad 2'!$Y28,IF($G$8="HPC-D",'Grad 2'!$Y28,""))))</f>
        <v/>
      </c>
      <c r="K46" s="145" t="str">
        <f>IF('Grad 2'!$X29="","",IF($G$8="BR",'Grad 2'!$Y29,IF($G$8="QMC",'Grad 2'!$Y29,IF($G$8="HPC-D",'Grad 2'!$Y29,""))))</f>
        <v/>
      </c>
      <c r="L46" s="145" t="str">
        <f>IF('Grad 2'!$X30="","",IF($G$8="BR",'Grad 2'!$Y30,IF($G$8="QMC",'Grad 2'!$Y30,IF($G$8="HPC-D",'Grad 2'!$Y30,""))))</f>
        <v/>
      </c>
      <c r="M46" s="157" t="str">
        <f>IF('Grad 2'!Y20="","",IF(G$8="QMC",'Grad 2'!$AE$31," "))</f>
        <v/>
      </c>
      <c r="N46" s="212" t="str">
        <f>IF($G$8="BR",'Grad 2'!$Y$32,IF($G$8="QMC",'Grad 2'!$Y$32,IF($G$8="HPC-D",'Grad 2'!$Y$32,"")))</f>
        <v/>
      </c>
      <c r="O46" s="212" t="str">
        <f>IF($G$8="BR",'Grad 2'!$Y$33,IF($G$8="QMC",'Grad 2'!$Y$33,IF($G$8="HPC-D",'Grad 2'!$Y$33,"")))</f>
        <v/>
      </c>
      <c r="P46" s="214"/>
      <c r="R46" s="137"/>
      <c r="S46" s="105"/>
      <c r="T46"/>
      <c r="U46"/>
      <c r="V46"/>
      <c r="W46"/>
      <c r="X46"/>
      <c r="Y46"/>
      <c r="Z46" s="124"/>
      <c r="AC46" s="6"/>
      <c r="AD46" s="7"/>
    </row>
    <row r="47" spans="1:30" ht="35.1" customHeight="1">
      <c r="A47" s="145" t="str">
        <f>IF('Grad 3'!$X19="","",IF($G$8="BR",'Grad 3'!$Y19,IF($G$8="QMC",'Grad 3'!$Y19,IF($G$8="HPC-D",'Grad 3'!$Y19,""))))</f>
        <v/>
      </c>
      <c r="B47" s="145" t="str">
        <f>IF('Grad 3'!$X20="","",IF($G$8="BR",'Grad 3'!$Y20,IF($G$8="QMC",'Grad 3'!$Y20,IF($G$8="HPC-D",'Grad 3'!$Y20,""))))</f>
        <v/>
      </c>
      <c r="C47" s="145" t="str">
        <f>IF('Grad 3'!$X21="","",IF($G$8="BR",'Grad 3'!$Y21,IF($G$8="QMC",'Grad 3'!$Y21,IF($G$8="HPC-D",'Grad 3'!$Y21,""))))</f>
        <v/>
      </c>
      <c r="D47" s="145" t="str">
        <f>IF('Grad 3'!$X22="","",IF($G$8="BR",'Grad 3'!$Y22,IF($G$8="QMC",'Grad 3'!$Y22,IF($G$8="HPC-D",'Grad 3'!$Y22,""))))</f>
        <v/>
      </c>
      <c r="E47" s="145" t="str">
        <f>IF('Grad 3'!$X23="","",IF($G$8="BR",'Grad 3'!$Y23,IF($G$8="QMC",'Grad 3'!$Y23,IF($G$8="HPC-D",'Grad 3'!$Y23,""))))</f>
        <v/>
      </c>
      <c r="F47" s="145" t="str">
        <f>IF('Grad 3'!$X24="","",IF($G$8="BR",'Grad 3'!$Y24,IF($G$8="QMC",'Grad 3'!$Y24,IF($G$8="HPC-D",'Grad 3'!$Y24,""))))</f>
        <v/>
      </c>
      <c r="G47" s="145" t="str">
        <f>IF('Grad 3'!$X25="","",IF($G$8="BR",'Grad 3'!$Y25,IF($G$8="QMC",'Grad 3'!$Y25,IF($G$8="HPC-D",'Grad 3'!$Y25,""))))</f>
        <v/>
      </c>
      <c r="H47" s="145" t="str">
        <f>IF('Grad 3'!$X26="","",IF($G$8="BR",'Grad 3'!$Y26,IF($G$8="QMC",'Grad 3'!$Y26,IF($G$8="HPC-D",'Grad 3'!$Y26,""))))</f>
        <v/>
      </c>
      <c r="I47" s="145" t="str">
        <f>IF('Grad 3'!$X27="","",IF($G$8="BR",'Grad 3'!$Y27,IF($G$8="QMC",'Grad 3'!$Y27,IF($G$8="HPC-D",'Grad 3'!$Y27,""))))</f>
        <v/>
      </c>
      <c r="J47" s="145" t="str">
        <f>IF('Grad 3'!$X28="","",IF($G$8="BR",'Grad 3'!$Y28,IF($G$8="QMC",'Grad 3'!$Y28,IF($G$8="HPC-D",'Grad 3'!$Y28,""))))</f>
        <v/>
      </c>
      <c r="K47" s="145" t="str">
        <f>IF('Grad 3'!$X29="","",IF($G$8="BR",'Grad 3'!$Y29,IF($G$8="QMC",'Grad 3'!$Y29,IF($G$8="HPC-D",'Grad 3'!$Y29,""))))</f>
        <v/>
      </c>
      <c r="L47" s="145" t="str">
        <f>IF('Grad 3'!$X30="","",IF($G$8="BR",'Grad 3'!$Y30,IF($G$8="QMC",'Grad 3'!$Y30,IF($G$8="HPC-D",'Grad 3'!$Y30,""))))</f>
        <v/>
      </c>
      <c r="M47" s="157" t="str">
        <f>IF('Grad 3'!Y21="","",IF(G$8="QMC",'Grad 3'!$AE$31," "))</f>
        <v/>
      </c>
      <c r="N47" s="212" t="str">
        <f>IF($G$8="BR",'Grad 3'!$Y$32,IF($G$8="QMC",'Grad 3'!$Y$32,IF($G$8="HPC-D",'Grad 3'!$Y$32,"")))</f>
        <v/>
      </c>
      <c r="O47" s="212" t="str">
        <f>IF($G$8="BR",'Grad 3'!$Y$33,IF($G$8="QMC",'Grad 3'!$Y$33,IF($G$8="HPC-D",'Grad 3'!$Y$33,"")))</f>
        <v/>
      </c>
      <c r="P47" s="214"/>
      <c r="R47" s="137"/>
      <c r="S47" s="105"/>
      <c r="T47"/>
      <c r="U47"/>
      <c r="V47"/>
      <c r="W47"/>
      <c r="X47"/>
      <c r="Y47"/>
      <c r="Z47" s="113"/>
      <c r="AC47" s="6"/>
      <c r="AD47" s="7"/>
    </row>
    <row r="48" spans="1:30" ht="35.1" customHeight="1">
      <c r="A48" s="145" t="str">
        <f>IF('Grad 4'!$X19="","",IF($G$8="BR",'Grad 4'!$Y19,IF($G$8="QMC",'Grad 4'!$Y19,IF($G$8="HPC-D",'Grad 4'!$Y19,""))))</f>
        <v/>
      </c>
      <c r="B48" s="145" t="str">
        <f>IF('Grad 4'!$X20="","",IF($G$8="BR",'Grad 4'!$Y20,IF($G$8="QMC",'Grad 4'!$Y20,IF($G$8="HPC-D",'Grad 4'!$Y20,""))))</f>
        <v/>
      </c>
      <c r="C48" s="145" t="str">
        <f>IF('Grad 4'!$X21="","",IF($G$8="BR",'Grad 4'!$Y21,IF($G$8="QMC",'Grad 4'!$Y21,IF($G$8="HPC-D",'Grad 4'!$Y21,""))))</f>
        <v/>
      </c>
      <c r="D48" s="145" t="str">
        <f>IF('Grad 4'!$X22="","",IF($G$8="BR",'Grad 4'!$Y22,IF($G$8="QMC",'Grad 4'!$Y22,IF($G$8="HPC-D",'Grad 4'!$Y22,""))))</f>
        <v/>
      </c>
      <c r="E48" s="145" t="str">
        <f>IF('Grad 4'!$X23="","",IF($G$8="BR",'Grad 4'!$Y23,IF($G$8="QMC",'Grad 4'!$Y23,IF($G$8="HPC-D",'Grad 4'!$Y23,""))))</f>
        <v/>
      </c>
      <c r="F48" s="145" t="str">
        <f>IF('Grad 4'!$X24="","",IF($G$8="BR",'Grad 4'!$Y24,IF($G$8="QMC",'Grad 4'!$Y24,IF($G$8="HPC-D",'Grad 4'!$Y24,""))))</f>
        <v/>
      </c>
      <c r="G48" s="145" t="str">
        <f>IF('Grad 4'!$X25="","",IF($G$8="BR",'Grad 4'!$Y25,IF($G$8="QMC",'Grad 4'!$Y25,IF($G$8="HPC-D",'Grad 4'!$Y25,""))))</f>
        <v/>
      </c>
      <c r="H48" s="145" t="str">
        <f>IF('Grad 4'!$X26="","",IF($G$8="BR",'Grad 4'!$Y26,IF($G$8="QMC",'Grad 4'!$Y26,IF($G$8="HPC-D",'Grad 4'!$Y26,""))))</f>
        <v/>
      </c>
      <c r="I48" s="145" t="str">
        <f>IF('Grad 4'!$X27="","",IF($G$8="BR",'Grad 4'!$Y27,IF($G$8="QMC",'Grad 4'!$Y27,IF($G$8="HPC-D",'Grad 4'!$Y27,""))))</f>
        <v/>
      </c>
      <c r="J48" s="145" t="str">
        <f>IF('Grad 4'!$X28="","",IF($G$8="BR",'Grad 4'!$Y28,IF($G$8="QMC",'Grad 4'!$Y28,IF($G$8="HPC-D",'Grad 4'!$Y28,""))))</f>
        <v/>
      </c>
      <c r="K48" s="145" t="str">
        <f>IF('Grad 4'!$X29="","",IF($G$8="BR",'Grad 4'!$Y29,IF($G$8="QMC",'Grad 4'!$Y29,IF($G$8="HPC-D",'Grad 4'!$Y29,""))))</f>
        <v/>
      </c>
      <c r="L48" s="145" t="str">
        <f>IF('Grad 4'!$X30="","",IF($G$8="BR",'Grad 4'!$Y30,IF($G$8="QMC",'Grad 4'!$Y30,IF($G$8="HPC-D",'Grad 4'!$Y30,""))))</f>
        <v/>
      </c>
      <c r="M48" s="157" t="str">
        <f>IF('Grad 4'!Y22="","",IF(G$8="QMC",'Grad 4'!$AE$31," "))</f>
        <v/>
      </c>
      <c r="N48" s="212" t="str">
        <f>IF($G$8="BR",'Grad 4'!$Y$32,IF($G$8="QMC",'Grad 4'!$Y$32,IF($G$8="HPC-D",'Grad 4'!$Y$32,"")))</f>
        <v/>
      </c>
      <c r="O48" s="212" t="str">
        <f>IF($G$8="BR",'Grad 4'!$Y$33,IF($G$8="QMC",'Grad 4'!$Y$33,IF($G$8="HPC-D",'Grad 4'!$Y$33,"")))</f>
        <v/>
      </c>
      <c r="P48" s="171"/>
      <c r="R48" s="137"/>
      <c r="S48" s="105"/>
      <c r="T48"/>
      <c r="U48"/>
      <c r="V48"/>
      <c r="W48"/>
      <c r="X48"/>
      <c r="Y48"/>
      <c r="Z48" s="113"/>
      <c r="AC48" s="6"/>
      <c r="AD48" s="7"/>
    </row>
    <row r="49" spans="1:30" ht="35.1" customHeight="1">
      <c r="A49" s="145" t="str">
        <f>IF('Grad 5'!$X19="","",IF($G$8="BR",'Grad 5'!$Y19,IF($G$8="QMC",'Grad 5'!$Y19,IF($G$8="HPC-D",'Grad 5'!$Y19,""))))</f>
        <v/>
      </c>
      <c r="B49" s="145" t="str">
        <f>IF('Grad 5'!$X20="","",IF($G$8="BR",'Grad 5'!$Y20,IF($G$8="QMC",'Grad 5'!$Y20,IF($G$8="HPC-D",'Grad 5'!$Y20,""))))</f>
        <v/>
      </c>
      <c r="C49" s="145" t="str">
        <f>IF('Grad 5'!$X21="","",IF($G$8="BR",'Grad 5'!$Y21,IF($G$8="QMC",'Grad 5'!$Y21,IF($G$8="HPC-D",'Grad 5'!$Y21,""))))</f>
        <v/>
      </c>
      <c r="D49" s="145" t="str">
        <f>IF('Grad 5'!$X22="","",IF($G$8="BR",'Grad 5'!$Y22,IF($G$8="QMC",'Grad 5'!$Y22,IF($G$8="HPC-D",'Grad 5'!$Y22,""))))</f>
        <v/>
      </c>
      <c r="E49" s="145" t="str">
        <f>IF('Grad 5'!$X23="","",IF($G$8="BR",'Grad 5'!$Y23,IF($G$8="QMC",'Grad 5'!$Y23,IF($G$8="HPC-D",'Grad 5'!$Y23,""))))</f>
        <v/>
      </c>
      <c r="F49" s="145" t="str">
        <f>IF('Grad 5'!$X24="","",IF($G$8="BR",'Grad 5'!$Y24,IF($G$8="QMC",'Grad 5'!$Y24,IF($G$8="HPC-D",'Grad 5'!$Y24,""))))</f>
        <v/>
      </c>
      <c r="G49" s="145" t="str">
        <f>IF('Grad 5'!$X25="","",IF($G$8="BR",'Grad 5'!$Y25,IF($G$8="QMC",'Grad 5'!$Y25,IF($G$8="HPC-D",'Grad 5'!$Y25,""))))</f>
        <v/>
      </c>
      <c r="H49" s="145" t="str">
        <f>IF('Grad 5'!$X26="","",IF($G$8="BR",'Grad 5'!$Y26,IF($G$8="QMC",'Grad 5'!$Y26,IF($G$8="HPC-D",'Grad 5'!$Y26,""))))</f>
        <v/>
      </c>
      <c r="I49" s="145" t="str">
        <f>IF('Grad 5'!$X27="","",IF($G$8="BR",'Grad 5'!$Y27,IF($G$8="QMC",'Grad 5'!$Y27,IF($G$8="HPC-D",'Grad 5'!$Y27,""))))</f>
        <v/>
      </c>
      <c r="J49" s="145" t="str">
        <f>IF('Grad 5'!$X28="","",IF($G$8="BR",'Grad 5'!$Y28,IF($G$8="QMC",'Grad 5'!$Y28,IF($G$8="HPC-D",'Grad 5'!$Y28,""))))</f>
        <v/>
      </c>
      <c r="K49" s="145" t="str">
        <f>IF('Grad 5'!$X29="","",IF($G$8="BR",'Grad 5'!$Y29,IF($G$8="QMC",'Grad 5'!$Y29,IF($G$8="HPC-D",'Grad 5'!$Y29,""))))</f>
        <v/>
      </c>
      <c r="L49" s="145" t="str">
        <f>IF('Grad 5'!$X30="","",IF($G$8="BR",'Grad 5'!$Y30,IF($G$8="QMC",'Grad 5'!$Y30,IF($G$8="HPC-D",'Grad 5'!$Y30,""))))</f>
        <v/>
      </c>
      <c r="M49" s="157" t="str">
        <f>IF('Grad 5'!Y23="","",IF(G$8="QMC",'Grad 5'!$AE$31," "))</f>
        <v/>
      </c>
      <c r="N49" s="212" t="str">
        <f>IF($G$8="BR",'Grad 5'!$Y$32,IF($G$8="QMC",'Grad 5'!$Y$32,IF($G$8="HPC-D",'Grad 5'!$Y$32,"")))</f>
        <v/>
      </c>
      <c r="O49" s="212" t="str">
        <f>IF($G$8="BR",'Grad 5'!$Y$33,IF($G$8="QMC",'Grad 5'!$Y$33,IF($G$8="HPC-D",'Grad 5'!$Y$33,"")))</f>
        <v/>
      </c>
      <c r="P49" s="171"/>
      <c r="R49" s="137"/>
      <c r="S49" s="105"/>
      <c r="T49"/>
      <c r="U49"/>
      <c r="V49"/>
      <c r="W49"/>
      <c r="X49"/>
      <c r="Y49"/>
      <c r="Z49" s="113"/>
      <c r="AC49" s="6"/>
      <c r="AD49" s="7"/>
    </row>
    <row r="50" spans="1:30" ht="35.1" customHeight="1">
      <c r="B50" s="137"/>
      <c r="C50" s="137"/>
      <c r="D50" s="154"/>
      <c r="E50" s="158"/>
      <c r="F50" s="158"/>
      <c r="G50" s="158"/>
      <c r="H50" s="158"/>
      <c r="I50" s="158"/>
      <c r="J50" s="574" t="s">
        <v>137</v>
      </c>
      <c r="K50" s="575"/>
      <c r="L50" s="575"/>
      <c r="M50" s="576"/>
      <c r="N50" s="213" t="str">
        <f>IF(N45&gt;0,AVERAGE(N45:N49),"")</f>
        <v/>
      </c>
      <c r="O50" s="213" t="str">
        <f>IF(N45&gt;0,AVERAGE(O45:O49),"")</f>
        <v/>
      </c>
      <c r="P50" s="142" t="str">
        <f>IF(N41="","",Q50)</f>
        <v/>
      </c>
      <c r="Q50" s="186" t="str">
        <f>IF(AND($N$54&lt;100,$N$54&gt;0,$O$54&gt;-0.140625*$N$54+50.06),"IV",IF(AND($N$54&lt;75,$N$54&gt;=45,$O$54&gt;-0.140625*$N$54+39.2,$O$54&lt;-0.140625*$N$54+50.06),"II",IF(AND($N$54&lt;45,$O$54&gt;-0.140625*$N$54+39.2,$O$54&lt;-0.140625*$N$54+50.06),"III",IF(AND($N$54&gt;75,$O$54&gt;-0.140625*$N$54+39.2,$O$54&lt;-0.140625*$N$54+50.06),"I",IF(AND($N$54&lt;72,$N$54&gt;45,$O$54&lt;-0.140625*$N$54+39.2),"V","O")))))</f>
        <v>O</v>
      </c>
      <c r="R50" s="137"/>
      <c r="S50" s="105"/>
      <c r="T50"/>
      <c r="U50"/>
      <c r="V50"/>
      <c r="W50"/>
      <c r="X50"/>
      <c r="Y50"/>
      <c r="Z50" s="113"/>
      <c r="AC50" s="6"/>
      <c r="AD50" s="7"/>
    </row>
    <row r="51" spans="1:30" ht="35.1" customHeight="1">
      <c r="B51" s="137"/>
      <c r="C51" s="137"/>
      <c r="D51" s="154"/>
      <c r="E51" s="158"/>
      <c r="F51" s="158"/>
      <c r="G51" s="158"/>
      <c r="H51" s="158"/>
      <c r="I51" s="158"/>
      <c r="J51" s="574" t="s">
        <v>138</v>
      </c>
      <c r="K51" s="563"/>
      <c r="L51" s="563"/>
      <c r="M51" s="563"/>
      <c r="N51" s="142" t="str">
        <f>IF('Proj Info'!B58="","",'Proj Info'!B58)</f>
        <v/>
      </c>
      <c r="O51" s="142" t="str">
        <f>IF('Proj Info'!B59="","",'Proj Info'!B59)</f>
        <v/>
      </c>
      <c r="P51" s="142" t="str">
        <f>IF('Proj Info'!B60="","",'Proj Info'!B60)</f>
        <v/>
      </c>
      <c r="Q51" s="159"/>
      <c r="R51" s="137"/>
      <c r="S51" s="105"/>
      <c r="T51"/>
      <c r="U51"/>
      <c r="V51"/>
      <c r="W51"/>
      <c r="X51"/>
      <c r="Y51"/>
      <c r="Z51" s="113"/>
      <c r="AC51" s="6"/>
      <c r="AD51" s="7"/>
    </row>
    <row r="52" spans="1:30" ht="35.1" customHeight="1">
      <c r="B52" s="137"/>
      <c r="C52" s="137"/>
      <c r="D52" s="154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9"/>
      <c r="R52" s="137"/>
      <c r="S52" s="105"/>
      <c r="T52"/>
      <c r="U52"/>
      <c r="V52"/>
      <c r="W52"/>
      <c r="X52"/>
      <c r="Y52"/>
      <c r="Z52" s="113"/>
      <c r="AC52" s="6"/>
      <c r="AD52" s="7"/>
    </row>
    <row r="53" spans="1:30" ht="35.1" customHeight="1">
      <c r="B53" s="137"/>
      <c r="C53" s="137"/>
      <c r="D53" s="154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105"/>
      <c r="T53" s="105"/>
      <c r="Z53" s="113"/>
      <c r="AC53" s="6"/>
      <c r="AD53" s="7"/>
    </row>
    <row r="54" spans="1:30" ht="35.1" customHeight="1">
      <c r="B54" s="162" t="s">
        <v>28</v>
      </c>
      <c r="C54" s="567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9"/>
      <c r="O54" s="569"/>
      <c r="P54" s="570"/>
      <c r="Q54" s="136"/>
      <c r="R54" s="136"/>
      <c r="S54" s="113"/>
      <c r="T54" s="113"/>
      <c r="U54" s="113"/>
      <c r="V54" s="113"/>
      <c r="W54" s="113"/>
      <c r="X54" s="113"/>
      <c r="Y54" s="113"/>
      <c r="Z54" s="113"/>
      <c r="AC54" s="6"/>
      <c r="AD54" s="7"/>
    </row>
    <row r="55" spans="1:30" ht="35.1" customHeight="1">
      <c r="B55" s="137"/>
      <c r="C55" s="571"/>
      <c r="D55" s="568"/>
      <c r="E55" s="568"/>
      <c r="F55" s="568"/>
      <c r="G55" s="568"/>
      <c r="H55" s="568"/>
      <c r="I55" s="568"/>
      <c r="J55" s="568"/>
      <c r="K55" s="568"/>
      <c r="L55" s="568"/>
      <c r="M55" s="568"/>
      <c r="N55" s="569"/>
      <c r="O55" s="569"/>
      <c r="P55" s="570"/>
      <c r="Q55" s="136"/>
      <c r="R55" s="136"/>
      <c r="S55" s="113"/>
      <c r="T55" s="113"/>
      <c r="U55" s="113"/>
      <c r="V55" s="113"/>
      <c r="W55" s="113"/>
      <c r="X55" s="113"/>
      <c r="Y55" s="113"/>
      <c r="Z55" s="113"/>
      <c r="AC55" s="6"/>
      <c r="AD55" s="7"/>
    </row>
    <row r="56" spans="1:30" ht="35.1" customHeight="1">
      <c r="B56" s="13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36"/>
      <c r="O56" s="136"/>
      <c r="P56" s="160"/>
      <c r="Q56" s="160"/>
      <c r="R56" s="136"/>
      <c r="S56" s="113"/>
      <c r="T56" s="113"/>
      <c r="U56" s="113"/>
      <c r="V56" s="113"/>
      <c r="W56" s="113"/>
      <c r="X56" s="113"/>
      <c r="Y56" s="113"/>
      <c r="Z56" s="113"/>
      <c r="AA56" s="6"/>
      <c r="AB56" s="6"/>
      <c r="AC56" s="6"/>
      <c r="AD56" s="7"/>
    </row>
    <row r="57" spans="1:30" ht="35.1" customHeight="1">
      <c r="A57" s="107" t="s">
        <v>149</v>
      </c>
      <c r="B57" s="107"/>
      <c r="C57" s="107"/>
      <c r="D57" s="107"/>
      <c r="E57" s="107"/>
      <c r="F57" s="107"/>
      <c r="G57" s="107"/>
      <c r="H57" s="125"/>
      <c r="I57" s="125"/>
      <c r="J57" s="112" t="s">
        <v>29</v>
      </c>
      <c r="K57" s="123" t="str">
        <f>IF('Proj Info'!B37="","",('Proj Info'!B37))</f>
        <v/>
      </c>
      <c r="L57" s="123"/>
      <c r="M57" s="123"/>
      <c r="N57" s="123"/>
      <c r="O57" s="112" t="s">
        <v>225</v>
      </c>
      <c r="P57" s="122" t="str">
        <f>IF('Proj Info'!B38="","",('Proj Info'!B38))</f>
        <v/>
      </c>
      <c r="U57" s="107"/>
      <c r="Z57" s="107"/>
      <c r="AA57" s="6"/>
      <c r="AB57" s="6"/>
      <c r="AC57" s="6"/>
      <c r="AD57" s="7"/>
    </row>
    <row r="58" spans="1:30" ht="21.95" customHeight="1">
      <c r="O58" s="6"/>
      <c r="P58" s="6"/>
      <c r="Q58" s="6"/>
      <c r="Z58" s="6"/>
      <c r="AA58" s="6"/>
      <c r="AB58" s="6"/>
      <c r="AC58" s="6"/>
      <c r="AD58" s="7"/>
    </row>
    <row r="59" spans="1:30" ht="21.95" customHeight="1">
      <c r="O59" s="6"/>
      <c r="P59" s="6"/>
      <c r="Q59" s="6"/>
      <c r="Z59" s="6"/>
      <c r="AA59" s="6"/>
      <c r="AB59" s="6"/>
      <c r="AC59" s="6"/>
      <c r="AD59" s="7"/>
    </row>
    <row r="60" spans="1:30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30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30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30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30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4:29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4:29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4:29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4:29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4:29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4:29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4:29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4:29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4:29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4:29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4:29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4:29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4:29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4:29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4:29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4:29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4:29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4:29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4:29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4:29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4:29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4:29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4:29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4:29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4:29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4:29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4:29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4:29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4:29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4:29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4:29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4:29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4:29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4:29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4:29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4:29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4:29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4:29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4:29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4:29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4:29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4:29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4:29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4:29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4:29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4:29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4:29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4:29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4:29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4:29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4:29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4:29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4:29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4:29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4:29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4:29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4:29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4:29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4:29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4:29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4:29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4:29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4:29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4:29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4:29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4:29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4:29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4:29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4:29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4:29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4:29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4:29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4:29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4:29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4:29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4:29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4:29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4:29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4:29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4:29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4:29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4:29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4:29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4:29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4:29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4:29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4:29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4:29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4:29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4:29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4:29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4:29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4:29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4:29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4:29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4:29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4:29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4:29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4:29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4:29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4:29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4:29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4:29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4:29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4:29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4:29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4:29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4:29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4:29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4:29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4:29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4:29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4:29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4:29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4:29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4:29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4:29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4:29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4:29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4:29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4:29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4:29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4:29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4:29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4:29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4:29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4:29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4:29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4:29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4:29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4:29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4:29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4:29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4:29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4:29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4:29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4:29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4:29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4:29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4:29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4:29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4:29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4:29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4:29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4:29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4:29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4:29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4:29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4:29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4:29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4:29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4:29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4:29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4:29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4:29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4:29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4:29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4:29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4:29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4:29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4:29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4:29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4:29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4:29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4:29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4:29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4:29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4:29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4:29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4:29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4:29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4:29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4:29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4:29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4:29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4:29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4:29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4:29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4:29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4:29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4:29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4:29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4:29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4:29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4:29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4:29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4:29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4:29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4:29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4:29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4:29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4:29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4:29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4:29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4:29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4:29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4:29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4:29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4:29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4:29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4:29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4:29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4:29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4:29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4:29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4:29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4:29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4:29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4:29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4:29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4:29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4:29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4:29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4:29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4:29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4:29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4:29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4:29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4:29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4:29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4:29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4:29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4:29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4:29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4:29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4:29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4:29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4:29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4:29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4:29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4:29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4:29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4:29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4:29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4:29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4:29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4:29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4:29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4:29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4:29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4:29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4:29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4:29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4:29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4:29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4:29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4:29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4:29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4:29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4:29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4:29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4:29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4:29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4:29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4:29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4:29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4:29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4:29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4:29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4:29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4:29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4:29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4:29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4:29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4:29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4:29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4:29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4:29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4:29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4:29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4:29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4:29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4:29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4:29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4:29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4:29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4:29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4:29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4:29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4:29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4:29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4:29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4:29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4:29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4:29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4:29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4:29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4:29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4:29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4:29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4:29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4:29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4:29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4:29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4:29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4:29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4:29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4:29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4:29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4:29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4:29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4:29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Y366" s="1"/>
      <c r="Z366" s="1"/>
      <c r="AA366" s="1"/>
      <c r="AB366" s="1"/>
    </row>
    <row r="367" spans="4:29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Y367" s="1"/>
      <c r="Z367" s="1"/>
      <c r="AA367" s="1"/>
      <c r="AB367" s="1"/>
    </row>
    <row r="368" spans="4:29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Y368" s="1"/>
      <c r="Z368" s="1"/>
      <c r="AA368" s="1"/>
      <c r="AB368" s="1"/>
    </row>
  </sheetData>
  <sheetProtection algorithmName="SHA-512" hashValue="Ixvd9ssVFTCjQ/1Jt5apYcyBTpM60TxzHeR51DTctkauyzBh/Dlgd2axRGoj4nWFz/KK4261J7KI7e1pN1R5/w==" saltValue="Wg0HWwjAf97dUSGiVOyzyA==" spinCount="100000" sheet="1" objects="1" scenarios="1"/>
  <mergeCells count="31">
    <mergeCell ref="E39:F39"/>
    <mergeCell ref="E28:F28"/>
    <mergeCell ref="E29:F29"/>
    <mergeCell ref="E14:F14"/>
    <mergeCell ref="E15:F15"/>
    <mergeCell ref="E16:F16"/>
    <mergeCell ref="E17:F17"/>
    <mergeCell ref="E18:F18"/>
    <mergeCell ref="E19:F19"/>
    <mergeCell ref="E34:F34"/>
    <mergeCell ref="E35:F35"/>
    <mergeCell ref="E36:F36"/>
    <mergeCell ref="E37:F37"/>
    <mergeCell ref="E38:F38"/>
    <mergeCell ref="Y10:Z10"/>
    <mergeCell ref="A12:F12"/>
    <mergeCell ref="E4:J4"/>
    <mergeCell ref="A32:F32"/>
    <mergeCell ref="A22:F22"/>
    <mergeCell ref="L9:M9"/>
    <mergeCell ref="E24:F24"/>
    <mergeCell ref="E25:F25"/>
    <mergeCell ref="E26:F26"/>
    <mergeCell ref="E27:F27"/>
    <mergeCell ref="O42:O44"/>
    <mergeCell ref="P42:P44"/>
    <mergeCell ref="C54:P54"/>
    <mergeCell ref="C55:P55"/>
    <mergeCell ref="N42:N44"/>
    <mergeCell ref="J50:M50"/>
    <mergeCell ref="J51:M51"/>
  </mergeCells>
  <phoneticPr fontId="0" type="noConversion"/>
  <pageMargins left="7.0000000000000007E-2" right="0.5" top="0.25" bottom="0.25" header="0.25" footer="0.25"/>
  <pageSetup scale="38" orientation="portrait" verticalDpi="300" r:id="rId1"/>
  <headerFooter alignWithMargins="0"/>
  <colBreaks count="1" manualBreakCount="1">
    <brk id="2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workbookViewId="0">
      <selection activeCell="E11" sqref="E11"/>
    </sheetView>
  </sheetViews>
  <sheetFormatPr defaultRowHeight="15"/>
  <cols>
    <col min="1" max="1" width="13.109375" customWidth="1"/>
    <col min="3" max="3" width="10.77734375" customWidth="1"/>
    <col min="6" max="6" width="10.77734375" customWidth="1"/>
  </cols>
  <sheetData>
    <row r="1" spans="1:7" ht="23.25">
      <c r="A1" s="339"/>
      <c r="B1" s="340"/>
      <c r="C1" s="340"/>
      <c r="D1" s="340"/>
      <c r="E1" s="340"/>
      <c r="F1" s="340"/>
      <c r="G1" s="341"/>
    </row>
    <row r="2" spans="1:7" ht="23.25">
      <c r="A2" s="339" t="s">
        <v>447</v>
      </c>
      <c r="B2" s="340"/>
      <c r="C2" s="340"/>
      <c r="D2" s="340"/>
      <c r="E2" s="340"/>
      <c r="F2" s="340"/>
      <c r="G2" s="341"/>
    </row>
    <row r="3" spans="1:7" ht="23.25">
      <c r="A3" s="339"/>
      <c r="B3" s="340"/>
      <c r="C3" s="340"/>
      <c r="D3" s="340"/>
      <c r="E3" s="340"/>
      <c r="F3" s="340"/>
      <c r="G3" s="341"/>
    </row>
    <row r="4" spans="1:7">
      <c r="A4" s="341"/>
      <c r="B4" s="342"/>
      <c r="C4" s="342"/>
      <c r="D4" s="342"/>
      <c r="E4" s="343"/>
      <c r="F4" s="344" t="s">
        <v>85</v>
      </c>
      <c r="G4" s="343"/>
    </row>
    <row r="5" spans="1:7" ht="16.5" thickBot="1">
      <c r="A5" s="345"/>
      <c r="B5" s="594" t="s">
        <v>389</v>
      </c>
      <c r="C5" s="595"/>
      <c r="D5" s="596"/>
      <c r="E5" s="597" t="s">
        <v>390</v>
      </c>
      <c r="F5" s="597"/>
      <c r="G5" s="598"/>
    </row>
    <row r="6" spans="1:7" ht="17.25" thickTop="1">
      <c r="A6" s="346"/>
      <c r="B6" s="347" t="s">
        <v>13</v>
      </c>
      <c r="C6" s="347" t="s">
        <v>14</v>
      </c>
      <c r="D6" s="347" t="s">
        <v>15</v>
      </c>
      <c r="E6" s="347" t="s">
        <v>13</v>
      </c>
      <c r="F6" s="347" t="s">
        <v>14</v>
      </c>
      <c r="G6" s="348" t="s">
        <v>15</v>
      </c>
    </row>
    <row r="7" spans="1:7" ht="16.5">
      <c r="A7" s="349" t="s">
        <v>91</v>
      </c>
      <c r="B7" s="350" t="s">
        <v>16</v>
      </c>
      <c r="C7" s="350" t="s">
        <v>16</v>
      </c>
      <c r="D7" s="350" t="s">
        <v>16</v>
      </c>
      <c r="E7" s="350" t="s">
        <v>16</v>
      </c>
      <c r="F7" s="350" t="s">
        <v>16</v>
      </c>
      <c r="G7" s="351" t="s">
        <v>16</v>
      </c>
    </row>
    <row r="8" spans="1:7" ht="16.5">
      <c r="A8" s="349" t="s">
        <v>97</v>
      </c>
      <c r="B8" s="350" t="s">
        <v>98</v>
      </c>
      <c r="C8" s="350" t="s">
        <v>98</v>
      </c>
      <c r="D8" s="350" t="s">
        <v>98</v>
      </c>
      <c r="E8" s="350" t="s">
        <v>98</v>
      </c>
      <c r="F8" s="350" t="s">
        <v>98</v>
      </c>
      <c r="G8" s="351" t="s">
        <v>98</v>
      </c>
    </row>
    <row r="9" spans="1:7" ht="17.25" thickBot="1">
      <c r="A9" s="352"/>
      <c r="B9" s="353" t="s">
        <v>99</v>
      </c>
      <c r="C9" s="353" t="s">
        <v>99</v>
      </c>
      <c r="D9" s="353" t="s">
        <v>99</v>
      </c>
      <c r="E9" s="353" t="s">
        <v>99</v>
      </c>
      <c r="F9" s="353" t="s">
        <v>99</v>
      </c>
      <c r="G9" s="354" t="s">
        <v>99</v>
      </c>
    </row>
    <row r="10" spans="1:7" ht="17.25" thickTop="1">
      <c r="A10" s="355" t="s">
        <v>391</v>
      </c>
      <c r="B10" s="356">
        <f>'Grad 1'!I5</f>
        <v>0</v>
      </c>
      <c r="C10" s="356">
        <f>'Grad 1'!I22</f>
        <v>0</v>
      </c>
      <c r="D10" s="357"/>
      <c r="E10" s="358"/>
      <c r="F10" s="358"/>
      <c r="G10" s="359"/>
    </row>
    <row r="11" spans="1:7" ht="16.5">
      <c r="A11" s="355" t="s">
        <v>392</v>
      </c>
      <c r="B11" s="356">
        <f>'Grad 1'!I6</f>
        <v>0</v>
      </c>
      <c r="C11" s="356">
        <f>'Grad 1'!I23</f>
        <v>0</v>
      </c>
      <c r="D11" s="357"/>
      <c r="E11" s="358"/>
      <c r="F11" s="358"/>
      <c r="G11" s="359"/>
    </row>
    <row r="12" spans="1:7" ht="16.5">
      <c r="A12" s="355" t="s">
        <v>393</v>
      </c>
      <c r="B12" s="356">
        <f>'Grad 1'!I7</f>
        <v>0</v>
      </c>
      <c r="C12" s="356">
        <f>'Grad 1'!I24</f>
        <v>0</v>
      </c>
      <c r="D12" s="357"/>
      <c r="E12" s="358"/>
      <c r="F12" s="358"/>
      <c r="G12" s="359"/>
    </row>
    <row r="13" spans="1:7" ht="16.5">
      <c r="A13" s="355" t="s">
        <v>394</v>
      </c>
      <c r="B13" s="356">
        <f>'Grad 1'!I8</f>
        <v>0</v>
      </c>
      <c r="C13" s="356">
        <f>'Grad 1'!I25</f>
        <v>0</v>
      </c>
      <c r="D13" s="357"/>
      <c r="E13" s="358"/>
      <c r="F13" s="358"/>
      <c r="G13" s="359"/>
    </row>
    <row r="14" spans="1:7" ht="16.5">
      <c r="A14" s="355" t="s">
        <v>395</v>
      </c>
      <c r="B14" s="356">
        <f>'Grad 1'!I9</f>
        <v>0</v>
      </c>
      <c r="C14" s="356">
        <f>'Grad 1'!I26</f>
        <v>0</v>
      </c>
      <c r="D14" s="356">
        <f>'Grad 1'!I42</f>
        <v>0</v>
      </c>
      <c r="E14" s="358"/>
      <c r="F14" s="358"/>
      <c r="G14" s="360"/>
    </row>
    <row r="15" spans="1:7" ht="16.5">
      <c r="A15" s="355" t="s">
        <v>396</v>
      </c>
      <c r="B15" s="356">
        <f>'Grad 1'!I10</f>
        <v>0</v>
      </c>
      <c r="C15" s="356">
        <f>'Grad 1'!I27</f>
        <v>0</v>
      </c>
      <c r="D15" s="356">
        <f>'Grad 1'!I43</f>
        <v>0</v>
      </c>
      <c r="E15" s="358"/>
      <c r="F15" s="358"/>
      <c r="G15" s="360"/>
    </row>
    <row r="16" spans="1:7" ht="16.5">
      <c r="A16" s="355" t="s">
        <v>397</v>
      </c>
      <c r="B16" s="356">
        <f>'Grad 1'!I11</f>
        <v>0</v>
      </c>
      <c r="C16" s="356">
        <f>'Grad 1'!I28</f>
        <v>0</v>
      </c>
      <c r="D16" s="356">
        <f>'Grad 1'!I44</f>
        <v>0</v>
      </c>
      <c r="E16" s="358"/>
      <c r="F16" s="358"/>
      <c r="G16" s="360"/>
    </row>
    <row r="17" spans="1:7" ht="16.5">
      <c r="A17" s="355" t="s">
        <v>398</v>
      </c>
      <c r="B17" s="357"/>
      <c r="C17" s="357"/>
      <c r="D17" s="356">
        <f>'Grad 1'!I45</f>
        <v>0</v>
      </c>
      <c r="E17" s="359"/>
      <c r="F17" s="359"/>
      <c r="G17" s="360"/>
    </row>
    <row r="18" spans="1:7" ht="16.5">
      <c r="A18" s="355" t="s">
        <v>399</v>
      </c>
      <c r="B18" s="357"/>
      <c r="C18" s="357"/>
      <c r="D18" s="356">
        <f>'Grad 1'!I46</f>
        <v>0</v>
      </c>
      <c r="E18" s="359"/>
      <c r="F18" s="359"/>
      <c r="G18" s="360"/>
    </row>
    <row r="19" spans="1:7" ht="16.5">
      <c r="A19" s="355" t="s">
        <v>400</v>
      </c>
      <c r="B19" s="357"/>
      <c r="C19" s="357"/>
      <c r="D19" s="356">
        <f>'Grad 1'!I47</f>
        <v>0</v>
      </c>
      <c r="E19" s="359"/>
      <c r="F19" s="359"/>
      <c r="G19" s="360"/>
    </row>
    <row r="20" spans="1:7" ht="16.5">
      <c r="A20" s="355" t="s">
        <v>401</v>
      </c>
      <c r="B20" s="357"/>
      <c r="C20" s="357"/>
      <c r="D20" s="356">
        <f>'Grad 1'!I48</f>
        <v>0</v>
      </c>
      <c r="E20" s="359"/>
      <c r="F20" s="359"/>
      <c r="G20" s="360"/>
    </row>
    <row r="21" spans="1:7" ht="17.25" thickBot="1">
      <c r="A21" s="361" t="s">
        <v>402</v>
      </c>
      <c r="B21" s="437">
        <f>'Grad 1'!I14</f>
        <v>0</v>
      </c>
      <c r="C21" s="362">
        <f>'Grad 1'!I31</f>
        <v>0</v>
      </c>
      <c r="D21" s="362">
        <f>'Grad 1'!I49</f>
        <v>0</v>
      </c>
      <c r="E21" s="363"/>
      <c r="F21" s="363"/>
      <c r="G21" s="364"/>
    </row>
    <row r="22" spans="1:7" ht="17.25" thickTop="1">
      <c r="A22" s="365"/>
      <c r="B22" s="366"/>
      <c r="C22" s="366"/>
      <c r="D22" s="366"/>
      <c r="E22" s="367"/>
      <c r="F22" s="367"/>
      <c r="G22" s="367"/>
    </row>
    <row r="23" spans="1:7" ht="17.25" thickBot="1">
      <c r="A23" s="365"/>
      <c r="B23" s="366"/>
      <c r="C23" s="366"/>
      <c r="D23" s="366"/>
      <c r="E23" s="367"/>
      <c r="F23" s="367"/>
      <c r="G23" s="367"/>
    </row>
    <row r="24" spans="1:7" ht="18" thickTop="1" thickBot="1">
      <c r="A24" s="368" t="s">
        <v>403</v>
      </c>
      <c r="B24" s="369">
        <f>(B10-B11)+(B11-B12)+(B12-B13)+(B13-B14)+(B14-B15)+(B15-B16)+(B16-B21)+B21</f>
        <v>0</v>
      </c>
      <c r="C24" s="369">
        <f>(C10-C11)+(C11-C12)+(C12-C13)+(C13-C14)+(C14-C15)+(C15-C16)+(C16-C21)+C21</f>
        <v>0</v>
      </c>
      <c r="D24" s="369">
        <f>(D14-D15)+(D15-D16)+(D16-D17)+(D17-D18)+(D18-D19)+(D19-D20)+(D20-D21)+D21</f>
        <v>0</v>
      </c>
      <c r="E24" s="370">
        <f>(E10-E11)+(E11-E12)+(E12-E13)+(E13-E14)+(E14-E15)+(E15-E16)+(E16-E21)+E21</f>
        <v>0</v>
      </c>
      <c r="F24" s="370">
        <f>(F10-F11)+(F11-F12)+(F12-F13)+(F13-F14)+(F14-F15)+(F15-F16)+(F16-F21)+F21</f>
        <v>0</v>
      </c>
      <c r="G24" s="370">
        <f>(G14-G15)+(G15-G16)+(G16-G17)+(G17-G18)+(G18-G19)+(G19-G20)+(G20-G21)+G21</f>
        <v>0</v>
      </c>
    </row>
    <row r="25" spans="1:7" ht="17.25" thickTop="1">
      <c r="A25" s="365"/>
      <c r="B25" s="341"/>
      <c r="C25" s="341"/>
      <c r="D25" s="341"/>
      <c r="E25" s="341"/>
      <c r="F25" s="341"/>
      <c r="G25" s="341"/>
    </row>
    <row r="26" spans="1:7" ht="16.5">
      <c r="A26" s="365"/>
      <c r="B26" s="341"/>
      <c r="C26" s="341"/>
      <c r="D26" s="341"/>
      <c r="E26" s="341"/>
      <c r="F26" s="341"/>
      <c r="G26" s="341"/>
    </row>
    <row r="27" spans="1:7" ht="16.5">
      <c r="A27" s="365"/>
      <c r="B27" s="341"/>
      <c r="C27" s="341"/>
      <c r="D27" s="341"/>
      <c r="E27" s="341"/>
      <c r="F27" s="341"/>
      <c r="G27" s="341"/>
    </row>
    <row r="28" spans="1:7" ht="16.5">
      <c r="A28" s="365"/>
      <c r="B28" s="341"/>
      <c r="C28" s="341"/>
      <c r="D28" s="341"/>
      <c r="E28" s="341"/>
      <c r="F28" s="341"/>
      <c r="G28" s="341"/>
    </row>
    <row r="29" spans="1:7" ht="16.5">
      <c r="A29" s="371" t="s">
        <v>404</v>
      </c>
      <c r="B29" s="599"/>
      <c r="C29" s="600"/>
      <c r="D29" s="600"/>
      <c r="E29" s="600"/>
      <c r="F29" s="600"/>
      <c r="G29" s="600"/>
    </row>
    <row r="30" spans="1:7" ht="16.5">
      <c r="A30" s="371"/>
      <c r="B30" s="592" t="s">
        <v>405</v>
      </c>
      <c r="C30" s="593"/>
      <c r="D30" s="593"/>
      <c r="E30" s="593"/>
      <c r="F30" s="593"/>
      <c r="G30" s="593"/>
    </row>
    <row r="31" spans="1:7">
      <c r="A31" s="341"/>
      <c r="B31" s="592" t="s">
        <v>405</v>
      </c>
      <c r="C31" s="593"/>
      <c r="D31" s="593"/>
      <c r="E31" s="593"/>
      <c r="F31" s="593"/>
      <c r="G31" s="593"/>
    </row>
    <row r="32" spans="1:7">
      <c r="A32" s="341"/>
      <c r="B32" s="592" t="s">
        <v>405</v>
      </c>
      <c r="C32" s="593"/>
      <c r="D32" s="593"/>
      <c r="E32" s="593"/>
      <c r="F32" s="593"/>
      <c r="G32" s="593"/>
    </row>
    <row r="33" spans="1:7">
      <c r="A33" s="341"/>
      <c r="B33" s="372"/>
      <c r="C33" s="372"/>
      <c r="D33" s="372"/>
      <c r="E33" s="372"/>
      <c r="F33" s="372"/>
      <c r="G33" s="341"/>
    </row>
    <row r="34" spans="1:7">
      <c r="A34" s="341"/>
      <c r="B34" s="341"/>
      <c r="C34" s="341"/>
      <c r="D34" s="341"/>
      <c r="E34" s="341"/>
      <c r="F34" s="341"/>
      <c r="G34" s="341"/>
    </row>
    <row r="35" spans="1:7">
      <c r="A35" s="373" t="s">
        <v>406</v>
      </c>
      <c r="B35" s="374" t="s">
        <v>407</v>
      </c>
      <c r="C35" s="341"/>
      <c r="D35" s="341"/>
      <c r="E35" s="341"/>
      <c r="F35" s="341"/>
      <c r="G35" s="341"/>
    </row>
    <row r="36" spans="1:7">
      <c r="A36" s="341"/>
      <c r="B36" s="341"/>
      <c r="C36" s="341"/>
      <c r="D36" s="341"/>
      <c r="E36" s="341"/>
      <c r="F36" s="341"/>
      <c r="G36" s="341"/>
    </row>
    <row r="37" spans="1:7">
      <c r="A37" s="341"/>
      <c r="B37" s="341"/>
      <c r="C37" s="341"/>
      <c r="D37" s="341"/>
      <c r="E37" s="341"/>
      <c r="F37" s="341"/>
      <c r="G37" s="341"/>
    </row>
    <row r="38" spans="1:7">
      <c r="A38" s="341"/>
      <c r="B38" s="341"/>
      <c r="C38" s="341"/>
      <c r="D38" s="341"/>
      <c r="E38" s="341"/>
      <c r="F38" s="341"/>
      <c r="G38" s="341"/>
    </row>
    <row r="39" spans="1:7">
      <c r="A39" s="341"/>
      <c r="B39" s="341"/>
      <c r="C39" s="341"/>
      <c r="D39" s="341"/>
      <c r="E39" s="341"/>
      <c r="F39" s="341"/>
      <c r="G39" s="341"/>
    </row>
    <row r="40" spans="1:7">
      <c r="A40" s="341"/>
      <c r="B40" s="341"/>
      <c r="C40" s="341"/>
      <c r="D40" s="341"/>
      <c r="E40" s="341"/>
      <c r="F40" s="341"/>
      <c r="G40" s="341"/>
    </row>
    <row r="41" spans="1:7">
      <c r="A41" s="341"/>
      <c r="B41" s="341"/>
      <c r="C41" s="341"/>
      <c r="D41" s="341"/>
      <c r="E41" s="341"/>
      <c r="F41" s="341"/>
      <c r="G41" s="341"/>
    </row>
  </sheetData>
  <sheetProtection password="D8FF" sheet="1" objects="1" scenarios="1"/>
  <mergeCells count="6">
    <mergeCell ref="B31:G31"/>
    <mergeCell ref="B32:G32"/>
    <mergeCell ref="B5:D5"/>
    <mergeCell ref="E5:G5"/>
    <mergeCell ref="B29:G29"/>
    <mergeCell ref="B30:G30"/>
  </mergeCells>
  <phoneticPr fontId="4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84"/>
  <sheetViews>
    <sheetView zoomScale="75" workbookViewId="0">
      <selection activeCell="A2" sqref="A2"/>
    </sheetView>
  </sheetViews>
  <sheetFormatPr defaultRowHeight="15"/>
  <cols>
    <col min="1" max="1" width="18.6640625" customWidth="1"/>
    <col min="2" max="6" width="18.88671875" customWidth="1"/>
    <col min="7" max="7" width="16.33203125" customWidth="1"/>
  </cols>
  <sheetData>
    <row r="1" spans="1:7" ht="27">
      <c r="A1" s="613" t="s">
        <v>527</v>
      </c>
      <c r="B1" s="613"/>
      <c r="C1" s="613"/>
      <c r="D1" s="613"/>
      <c r="E1" s="613"/>
      <c r="F1" s="613"/>
      <c r="G1" s="613"/>
    </row>
    <row r="2" spans="1:7" ht="23.25">
      <c r="A2" s="375" t="s">
        <v>408</v>
      </c>
      <c r="B2" s="612">
        <f>'Proj Info'!B4</f>
        <v>0</v>
      </c>
      <c r="C2" s="612"/>
      <c r="D2" s="377"/>
      <c r="E2" s="377"/>
      <c r="F2" s="377"/>
      <c r="G2" s="377"/>
    </row>
    <row r="3" spans="1:7">
      <c r="A3" s="378"/>
      <c r="B3" s="612">
        <f>'Proj Info'!B5</f>
        <v>0</v>
      </c>
      <c r="C3" s="612"/>
      <c r="D3" s="378"/>
      <c r="E3" s="378"/>
      <c r="F3" s="378"/>
      <c r="G3" s="378"/>
    </row>
    <row r="4" spans="1:7">
      <c r="A4" s="379"/>
      <c r="B4" s="612">
        <f>'Proj Info'!B6</f>
        <v>0</v>
      </c>
      <c r="C4" s="612"/>
      <c r="D4" s="375" t="s">
        <v>409</v>
      </c>
      <c r="E4" s="380">
        <f>'Proj Info'!B11</f>
        <v>0</v>
      </c>
      <c r="F4" s="375" t="s">
        <v>410</v>
      </c>
      <c r="G4" s="381" t="str">
        <f>'821283C'!D15</f>
        <v/>
      </c>
    </row>
    <row r="5" spans="1:7">
      <c r="A5" s="378"/>
      <c r="B5" s="612">
        <f>'Proj Info'!B7</f>
        <v>0</v>
      </c>
      <c r="C5" s="612"/>
      <c r="D5" s="378"/>
      <c r="E5" s="382"/>
      <c r="F5" s="378"/>
      <c r="G5" s="382"/>
    </row>
    <row r="6" spans="1:7">
      <c r="A6" s="375" t="s">
        <v>411</v>
      </c>
      <c r="B6" s="612">
        <f>'Proj Info'!B9</f>
        <v>0</v>
      </c>
      <c r="C6" s="612"/>
      <c r="D6" s="375" t="s">
        <v>412</v>
      </c>
      <c r="E6" s="376">
        <f>'Proj Info'!B12</f>
        <v>0</v>
      </c>
      <c r="F6" s="383" t="s">
        <v>413</v>
      </c>
      <c r="G6" s="502"/>
    </row>
    <row r="7" spans="1:7">
      <c r="A7" s="378"/>
      <c r="B7" s="382"/>
      <c r="C7" s="382"/>
      <c r="D7" s="378"/>
      <c r="E7" s="382"/>
      <c r="F7" s="378"/>
      <c r="G7" s="382"/>
    </row>
    <row r="8" spans="1:7">
      <c r="A8" s="375" t="s">
        <v>414</v>
      </c>
      <c r="B8" s="612">
        <f>'Proj Info'!B10</f>
        <v>0</v>
      </c>
      <c r="C8" s="612"/>
      <c r="D8" s="375" t="s">
        <v>415</v>
      </c>
      <c r="E8" s="376">
        <f>'Proj Info'!B8</f>
        <v>0</v>
      </c>
      <c r="F8" s="384" t="s">
        <v>416</v>
      </c>
      <c r="G8" s="385">
        <f>'Proj Info'!B13</f>
        <v>0</v>
      </c>
    </row>
    <row r="9" spans="1:7">
      <c r="A9" s="375"/>
      <c r="B9" s="382"/>
      <c r="C9" s="382"/>
      <c r="D9" s="378"/>
      <c r="E9" s="386"/>
      <c r="F9" s="387"/>
      <c r="G9" s="382"/>
    </row>
    <row r="10" spans="1:7">
      <c r="A10" s="375" t="s">
        <v>417</v>
      </c>
      <c r="B10" s="388">
        <f>'Proj Info'!B28</f>
        <v>0</v>
      </c>
      <c r="C10" s="389"/>
      <c r="D10" s="375" t="s">
        <v>418</v>
      </c>
      <c r="E10" s="390">
        <f>'Proj Info'!B31</f>
        <v>0</v>
      </c>
      <c r="F10" s="375" t="s">
        <v>419</v>
      </c>
      <c r="G10" s="376">
        <f>'Proj Info'!B34</f>
        <v>0</v>
      </c>
    </row>
    <row r="11" spans="1:7">
      <c r="A11" s="378"/>
      <c r="B11" s="382"/>
      <c r="C11" s="382"/>
      <c r="D11" s="378"/>
      <c r="E11" s="382"/>
      <c r="F11" s="378"/>
      <c r="G11" s="382"/>
    </row>
    <row r="12" spans="1:7">
      <c r="A12" s="375" t="s">
        <v>420</v>
      </c>
      <c r="B12" s="376">
        <f>'Proj Info'!B37</f>
        <v>0</v>
      </c>
      <c r="C12" s="391"/>
      <c r="D12" s="375" t="s">
        <v>421</v>
      </c>
      <c r="E12" s="376">
        <f>'Proj Info'!B38</f>
        <v>0</v>
      </c>
      <c r="F12" s="384" t="s">
        <v>422</v>
      </c>
      <c r="G12" s="443"/>
    </row>
    <row r="13" spans="1:7">
      <c r="A13" s="375"/>
      <c r="B13" s="393"/>
      <c r="C13" s="391"/>
      <c r="D13" s="394"/>
      <c r="E13" s="393"/>
      <c r="F13" s="375"/>
      <c r="G13" s="395"/>
    </row>
    <row r="14" spans="1:7">
      <c r="A14" s="375" t="s">
        <v>423</v>
      </c>
      <c r="B14" s="376">
        <f>'Proj Info'!B61</f>
        <v>0</v>
      </c>
      <c r="C14" s="391"/>
      <c r="D14" s="375" t="s">
        <v>421</v>
      </c>
      <c r="E14" s="376">
        <f>'Proj Info'!B62</f>
        <v>0</v>
      </c>
      <c r="F14" s="384" t="s">
        <v>424</v>
      </c>
      <c r="G14" s="392">
        <f>'Proj Info'!B20</f>
        <v>0</v>
      </c>
    </row>
    <row r="15" spans="1:7">
      <c r="A15" s="375"/>
      <c r="B15" s="396"/>
      <c r="C15" s="379"/>
      <c r="D15" s="394"/>
      <c r="E15" s="397"/>
      <c r="F15" s="375"/>
      <c r="G15" s="395"/>
    </row>
    <row r="16" spans="1:7" ht="15.75" thickBot="1">
      <c r="A16" s="378"/>
      <c r="B16" s="378"/>
      <c r="C16" s="378"/>
      <c r="D16" s="378"/>
      <c r="E16" s="378"/>
      <c r="F16" s="378"/>
      <c r="G16" s="378"/>
    </row>
    <row r="17" spans="1:7" ht="17.25" thickTop="1">
      <c r="A17" s="398"/>
      <c r="B17" s="604" t="s">
        <v>425</v>
      </c>
      <c r="C17" s="604" t="s">
        <v>426</v>
      </c>
      <c r="D17" s="607" t="s">
        <v>427</v>
      </c>
      <c r="E17" s="607" t="s">
        <v>428</v>
      </c>
      <c r="F17" s="601" t="s">
        <v>300</v>
      </c>
      <c r="G17" s="379"/>
    </row>
    <row r="18" spans="1:7" ht="16.5">
      <c r="A18" s="399" t="s">
        <v>91</v>
      </c>
      <c r="B18" s="605"/>
      <c r="C18" s="605"/>
      <c r="D18" s="608"/>
      <c r="E18" s="610"/>
      <c r="F18" s="602"/>
      <c r="G18" s="379"/>
    </row>
    <row r="19" spans="1:7" ht="16.5">
      <c r="A19" s="399" t="s">
        <v>97</v>
      </c>
      <c r="B19" s="605"/>
      <c r="C19" s="605"/>
      <c r="D19" s="608"/>
      <c r="E19" s="610"/>
      <c r="F19" s="602"/>
      <c r="G19" s="379"/>
    </row>
    <row r="20" spans="1:7" ht="17.25" thickBot="1">
      <c r="A20" s="400"/>
      <c r="B20" s="606"/>
      <c r="C20" s="606"/>
      <c r="D20" s="609"/>
      <c r="E20" s="611"/>
      <c r="F20" s="603"/>
      <c r="G20" s="379"/>
    </row>
    <row r="21" spans="1:7" ht="17.25" thickTop="1">
      <c r="A21" s="355" t="s">
        <v>391</v>
      </c>
      <c r="B21" s="401">
        <f>100-'CPI Grad'!B10</f>
        <v>100</v>
      </c>
      <c r="C21" s="401">
        <f>100-'CPI Grad'!E10</f>
        <v>100</v>
      </c>
      <c r="D21" s="401">
        <f t="shared" ref="D21:D27" si="0">ABS(B21-C21)</f>
        <v>0</v>
      </c>
      <c r="E21" s="402">
        <f t="shared" ref="E21:E26" si="1">IF(B21&lt;3.1,2,IF(B21&lt;10.1,3,IF(B21&lt;20.1,5,IF(B21&lt;30.1,6,IF(B21&lt;40.1,7,9)))))</f>
        <v>9</v>
      </c>
      <c r="F21" s="403" t="str">
        <f t="shared" ref="F21:F27" si="2">IF(D21&lt;E21,"Yes",IF(D21=E21,"Yes",IF(D21&gt;E21,"No",0)))</f>
        <v>Yes</v>
      </c>
      <c r="G21" s="379"/>
    </row>
    <row r="22" spans="1:7" ht="16.5">
      <c r="A22" s="355" t="s">
        <v>392</v>
      </c>
      <c r="B22" s="401">
        <f>'CPI Grad'!B10-'CPI Grad'!B11</f>
        <v>0</v>
      </c>
      <c r="C22" s="401">
        <f>'CPI Grad'!E10-'CPI Grad'!E11</f>
        <v>0</v>
      </c>
      <c r="D22" s="401">
        <f t="shared" si="0"/>
        <v>0</v>
      </c>
      <c r="E22" s="404">
        <f t="shared" si="1"/>
        <v>2</v>
      </c>
      <c r="F22" s="405" t="str">
        <f t="shared" si="2"/>
        <v>Yes</v>
      </c>
      <c r="G22" s="379"/>
    </row>
    <row r="23" spans="1:7" ht="16.5">
      <c r="A23" s="355" t="s">
        <v>393</v>
      </c>
      <c r="B23" s="401">
        <f>'CPI Grad'!B11-'CPI Grad'!B12</f>
        <v>0</v>
      </c>
      <c r="C23" s="401">
        <f>'CPI Grad'!E11-'CPI Grad'!E12</f>
        <v>0</v>
      </c>
      <c r="D23" s="401">
        <f t="shared" si="0"/>
        <v>0</v>
      </c>
      <c r="E23" s="404">
        <f t="shared" si="1"/>
        <v>2</v>
      </c>
      <c r="F23" s="405" t="str">
        <f t="shared" si="2"/>
        <v>Yes</v>
      </c>
      <c r="G23" s="379"/>
    </row>
    <row r="24" spans="1:7" ht="16.5">
      <c r="A24" s="355" t="s">
        <v>394</v>
      </c>
      <c r="B24" s="401">
        <f>'CPI Grad'!B12-'CPI Grad'!B13</f>
        <v>0</v>
      </c>
      <c r="C24" s="401">
        <f>'CPI Grad'!E12-'CPI Grad'!E13</f>
        <v>0</v>
      </c>
      <c r="D24" s="401">
        <f t="shared" si="0"/>
        <v>0</v>
      </c>
      <c r="E24" s="404">
        <f t="shared" si="1"/>
        <v>2</v>
      </c>
      <c r="F24" s="405" t="str">
        <f t="shared" si="2"/>
        <v>Yes</v>
      </c>
      <c r="G24" s="379"/>
    </row>
    <row r="25" spans="1:7" ht="16.5">
      <c r="A25" s="355" t="s">
        <v>395</v>
      </c>
      <c r="B25" s="401">
        <f>'CPI Grad'!B13-'CPI Grad'!B14</f>
        <v>0</v>
      </c>
      <c r="C25" s="401">
        <f>'CPI Grad'!E13-'CPI Grad'!E14</f>
        <v>0</v>
      </c>
      <c r="D25" s="401">
        <f t="shared" si="0"/>
        <v>0</v>
      </c>
      <c r="E25" s="404">
        <f t="shared" si="1"/>
        <v>2</v>
      </c>
      <c r="F25" s="405" t="str">
        <f t="shared" si="2"/>
        <v>Yes</v>
      </c>
      <c r="G25" s="379"/>
    </row>
    <row r="26" spans="1:7" ht="16.5">
      <c r="A26" s="355" t="s">
        <v>396</v>
      </c>
      <c r="B26" s="401">
        <f>'CPI Grad'!B14-'CPI Grad'!B15</f>
        <v>0</v>
      </c>
      <c r="C26" s="401">
        <f>'CPI Grad'!E14-'CPI Grad'!E15</f>
        <v>0</v>
      </c>
      <c r="D26" s="401">
        <f t="shared" si="0"/>
        <v>0</v>
      </c>
      <c r="E26" s="406">
        <f t="shared" si="1"/>
        <v>2</v>
      </c>
      <c r="F26" s="405" t="str">
        <f t="shared" si="2"/>
        <v>Yes</v>
      </c>
      <c r="G26" s="379"/>
    </row>
    <row r="27" spans="1:7" ht="16.5">
      <c r="A27" s="355" t="s">
        <v>397</v>
      </c>
      <c r="B27" s="401">
        <f>'CPI Grad'!B15-'CPI Grad'!B16</f>
        <v>0</v>
      </c>
      <c r="C27" s="401">
        <f>'CPI Grad'!E15-'CPI Grad'!E16</f>
        <v>0</v>
      </c>
      <c r="D27" s="407">
        <f t="shared" si="0"/>
        <v>0</v>
      </c>
      <c r="E27" s="408">
        <f>IF(B27&lt;3.1,1,IF(B27&lt;10.1,2,IF(B27&lt;20.1,3,IF(B27&lt;30.1,4,IF(B27&lt;40.1,4,IF(B27&lt;50.1,4,0))))))</f>
        <v>1</v>
      </c>
      <c r="F27" s="405" t="str">
        <f t="shared" si="2"/>
        <v>Yes</v>
      </c>
      <c r="G27" s="379"/>
    </row>
    <row r="28" spans="1:7" ht="16.5">
      <c r="A28" s="355" t="s">
        <v>398</v>
      </c>
      <c r="B28" s="438"/>
      <c r="C28" s="439"/>
      <c r="D28" s="439"/>
      <c r="E28" s="440"/>
      <c r="F28" s="441"/>
      <c r="G28" s="379"/>
    </row>
    <row r="29" spans="1:7" ht="16.5">
      <c r="A29" s="355" t="s">
        <v>399</v>
      </c>
      <c r="B29" s="438"/>
      <c r="C29" s="439"/>
      <c r="D29" s="439"/>
      <c r="E29" s="440"/>
      <c r="F29" s="441"/>
      <c r="G29" s="379"/>
    </row>
    <row r="30" spans="1:7" ht="16.5">
      <c r="A30" s="355" t="s">
        <v>400</v>
      </c>
      <c r="B30" s="438"/>
      <c r="C30" s="439"/>
      <c r="D30" s="439"/>
      <c r="E30" s="440"/>
      <c r="F30" s="441"/>
      <c r="G30" s="379"/>
    </row>
    <row r="31" spans="1:7" ht="16.5">
      <c r="A31" s="355" t="s">
        <v>401</v>
      </c>
      <c r="B31" s="438"/>
      <c r="C31" s="439"/>
      <c r="D31" s="439"/>
      <c r="E31" s="440"/>
      <c r="F31" s="441"/>
      <c r="G31" s="379"/>
    </row>
    <row r="32" spans="1:7" ht="17.25" thickBot="1">
      <c r="A32" s="409" t="s">
        <v>429</v>
      </c>
      <c r="B32" s="410">
        <f>'CPI Grad'!B21</f>
        <v>0</v>
      </c>
      <c r="C32" s="410">
        <f>'CPI Grad'!E21</f>
        <v>0</v>
      </c>
      <c r="D32" s="411">
        <f>ABS(B32-C32)</f>
        <v>0</v>
      </c>
      <c r="E32" s="412">
        <f>IF(B32&lt;3.1,1,IF(B32&lt;10.1,2,IF(B32&lt;20.1,3,IF(B32&lt;30.1,4,IF(B32&lt;40.1,4,IF(B32&lt;50.1,4,0))))))</f>
        <v>1</v>
      </c>
      <c r="F32" s="413" t="str">
        <f>IF(D32&lt;E32,"Yes",IF(D32=E32,"Yes",IF(D32&gt;E32,"No",0)))</f>
        <v>Yes</v>
      </c>
      <c r="G32" s="379"/>
    </row>
    <row r="33" spans="1:7" ht="17.25" thickTop="1">
      <c r="A33" s="414"/>
      <c r="B33" s="415"/>
      <c r="C33" s="415"/>
      <c r="D33" s="415"/>
      <c r="E33" s="416"/>
      <c r="F33" s="416"/>
      <c r="G33" s="379"/>
    </row>
    <row r="34" spans="1:7" ht="16.5">
      <c r="A34" s="417"/>
      <c r="B34" s="415"/>
      <c r="C34" s="415"/>
      <c r="D34" s="415"/>
      <c r="E34" s="416"/>
      <c r="F34" s="416"/>
      <c r="G34" s="379"/>
    </row>
    <row r="35" spans="1:7" ht="15.75" thickBot="1">
      <c r="A35" s="378"/>
      <c r="B35" s="378"/>
      <c r="C35" s="378"/>
      <c r="D35" s="378"/>
      <c r="E35" s="378"/>
      <c r="F35" s="378"/>
      <c r="G35" s="378"/>
    </row>
    <row r="36" spans="1:7" ht="17.25" thickTop="1">
      <c r="A36" s="398"/>
      <c r="B36" s="604" t="s">
        <v>430</v>
      </c>
      <c r="C36" s="604" t="s">
        <v>431</v>
      </c>
      <c r="D36" s="607" t="s">
        <v>427</v>
      </c>
      <c r="E36" s="607" t="s">
        <v>428</v>
      </c>
      <c r="F36" s="601" t="s">
        <v>300</v>
      </c>
      <c r="G36" s="379"/>
    </row>
    <row r="37" spans="1:7" ht="16.5">
      <c r="A37" s="399" t="s">
        <v>91</v>
      </c>
      <c r="B37" s="605"/>
      <c r="C37" s="605"/>
      <c r="D37" s="608"/>
      <c r="E37" s="610"/>
      <c r="F37" s="602"/>
      <c r="G37" s="379"/>
    </row>
    <row r="38" spans="1:7" ht="16.5">
      <c r="A38" s="399" t="s">
        <v>97</v>
      </c>
      <c r="B38" s="605"/>
      <c r="C38" s="605"/>
      <c r="D38" s="608"/>
      <c r="E38" s="610"/>
      <c r="F38" s="602"/>
      <c r="G38" s="379"/>
    </row>
    <row r="39" spans="1:7" ht="16.5">
      <c r="A39" s="399"/>
      <c r="B39" s="605"/>
      <c r="C39" s="605"/>
      <c r="D39" s="608"/>
      <c r="E39" s="610"/>
      <c r="F39" s="602"/>
      <c r="G39" s="379"/>
    </row>
    <row r="40" spans="1:7" ht="17.25" thickBot="1">
      <c r="A40" s="400"/>
      <c r="B40" s="606"/>
      <c r="C40" s="606"/>
      <c r="D40" s="609"/>
      <c r="E40" s="611"/>
      <c r="F40" s="603"/>
      <c r="G40" s="379"/>
    </row>
    <row r="41" spans="1:7" ht="17.25" thickTop="1">
      <c r="A41" s="355" t="s">
        <v>391</v>
      </c>
      <c r="B41" s="401">
        <f>100-'CPI Grad'!C10</f>
        <v>100</v>
      </c>
      <c r="C41" s="401">
        <f>100-'CPI Grad'!F10</f>
        <v>100</v>
      </c>
      <c r="D41" s="401">
        <f t="shared" ref="D41:D47" si="3">ABS(B41-C41)</f>
        <v>0</v>
      </c>
      <c r="E41" s="402">
        <f t="shared" ref="E41:E46" si="4">IF(B41&lt;3.1,2,IF(B41&lt;10.1,3,IF(B41&lt;20.1,5,IF(B41&lt;30.1,6,IF(B41&lt;40.1,7,IF(B41&lt;90.1,9,0))))))</f>
        <v>0</v>
      </c>
      <c r="F41" s="403" t="str">
        <f t="shared" ref="F41:F47" si="5">IF(D41&lt;E41,"Yes",IF(D41=E41,"Yes",IF(D41&gt;E41,"No",0)))</f>
        <v>Yes</v>
      </c>
      <c r="G41" s="379"/>
    </row>
    <row r="42" spans="1:7" ht="16.5">
      <c r="A42" s="355" t="s">
        <v>392</v>
      </c>
      <c r="B42" s="401">
        <f>'CPI Grad'!C10-'CPI Grad'!C11</f>
        <v>0</v>
      </c>
      <c r="C42" s="401">
        <f>'CPI Grad'!F10-'CPI Grad'!F11</f>
        <v>0</v>
      </c>
      <c r="D42" s="401">
        <f t="shared" si="3"/>
        <v>0</v>
      </c>
      <c r="E42" s="404">
        <f t="shared" si="4"/>
        <v>2</v>
      </c>
      <c r="F42" s="405" t="str">
        <f t="shared" si="5"/>
        <v>Yes</v>
      </c>
      <c r="G42" s="379"/>
    </row>
    <row r="43" spans="1:7" ht="16.5">
      <c r="A43" s="355" t="s">
        <v>393</v>
      </c>
      <c r="B43" s="401">
        <f>'CPI Grad'!C11-'CPI Grad'!C12</f>
        <v>0</v>
      </c>
      <c r="C43" s="401">
        <f>'CPI Grad'!F11-'CPI Grad'!F12</f>
        <v>0</v>
      </c>
      <c r="D43" s="401">
        <f t="shared" si="3"/>
        <v>0</v>
      </c>
      <c r="E43" s="404">
        <f t="shared" si="4"/>
        <v>2</v>
      </c>
      <c r="F43" s="405" t="str">
        <f t="shared" si="5"/>
        <v>Yes</v>
      </c>
      <c r="G43" s="379"/>
    </row>
    <row r="44" spans="1:7" ht="16.5">
      <c r="A44" s="355" t="s">
        <v>394</v>
      </c>
      <c r="B44" s="401">
        <f>'CPI Grad'!C12-'CPI Grad'!C13</f>
        <v>0</v>
      </c>
      <c r="C44" s="401">
        <f>'CPI Grad'!F12-'CPI Grad'!F13</f>
        <v>0</v>
      </c>
      <c r="D44" s="401">
        <f t="shared" si="3"/>
        <v>0</v>
      </c>
      <c r="E44" s="404">
        <f t="shared" si="4"/>
        <v>2</v>
      </c>
      <c r="F44" s="405" t="str">
        <f t="shared" si="5"/>
        <v>Yes</v>
      </c>
      <c r="G44" s="379"/>
    </row>
    <row r="45" spans="1:7" ht="16.5">
      <c r="A45" s="355" t="s">
        <v>395</v>
      </c>
      <c r="B45" s="401">
        <f>'CPI Grad'!C13-'CPI Grad'!C14</f>
        <v>0</v>
      </c>
      <c r="C45" s="401">
        <f>'CPI Grad'!F13-'CPI Grad'!F14</f>
        <v>0</v>
      </c>
      <c r="D45" s="401">
        <f t="shared" si="3"/>
        <v>0</v>
      </c>
      <c r="E45" s="404">
        <f t="shared" si="4"/>
        <v>2</v>
      </c>
      <c r="F45" s="405" t="str">
        <f t="shared" si="5"/>
        <v>Yes</v>
      </c>
      <c r="G45" s="379"/>
    </row>
    <row r="46" spans="1:7" ht="16.5">
      <c r="A46" s="355" t="s">
        <v>396</v>
      </c>
      <c r="B46" s="401">
        <f>'CPI Grad'!C14-'CPI Grad'!C15</f>
        <v>0</v>
      </c>
      <c r="C46" s="401">
        <f>'CPI Grad'!F14-'CPI Grad'!F15</f>
        <v>0</v>
      </c>
      <c r="D46" s="401">
        <f t="shared" si="3"/>
        <v>0</v>
      </c>
      <c r="E46" s="406">
        <f t="shared" si="4"/>
        <v>2</v>
      </c>
      <c r="F46" s="405" t="str">
        <f t="shared" si="5"/>
        <v>Yes</v>
      </c>
      <c r="G46" s="379"/>
    </row>
    <row r="47" spans="1:7" ht="16.5">
      <c r="A47" s="355" t="s">
        <v>397</v>
      </c>
      <c r="B47" s="401">
        <f>'CPI Grad'!C15-'CPI Grad'!C16</f>
        <v>0</v>
      </c>
      <c r="C47" s="401">
        <f>'CPI Grad'!F15-'CPI Grad'!F16</f>
        <v>0</v>
      </c>
      <c r="D47" s="407">
        <f t="shared" si="3"/>
        <v>0</v>
      </c>
      <c r="E47" s="408">
        <f>IF(B47&lt;3.1,1,IF(B47&lt;10.1,2,IF(B47&lt;20.1,3,IF(B47&lt;30.1,4,IF(B47&lt;40.1,4,IF(B47&lt;90.1,4,0))))))</f>
        <v>1</v>
      </c>
      <c r="F47" s="405" t="str">
        <f t="shared" si="5"/>
        <v>Yes</v>
      </c>
      <c r="G47" s="379"/>
    </row>
    <row r="48" spans="1:7" ht="16.5">
      <c r="A48" s="355" t="s">
        <v>398</v>
      </c>
      <c r="B48" s="438"/>
      <c r="C48" s="439"/>
      <c r="D48" s="439"/>
      <c r="E48" s="440"/>
      <c r="F48" s="441"/>
      <c r="G48" s="379"/>
    </row>
    <row r="49" spans="1:7" ht="16.5">
      <c r="A49" s="355" t="s">
        <v>399</v>
      </c>
      <c r="B49" s="438"/>
      <c r="C49" s="439"/>
      <c r="D49" s="439"/>
      <c r="E49" s="440"/>
      <c r="F49" s="441"/>
      <c r="G49" s="379"/>
    </row>
    <row r="50" spans="1:7" ht="16.5">
      <c r="A50" s="355" t="s">
        <v>400</v>
      </c>
      <c r="B50" s="438"/>
      <c r="C50" s="439"/>
      <c r="D50" s="439"/>
      <c r="E50" s="440"/>
      <c r="F50" s="441"/>
      <c r="G50" s="379"/>
    </row>
    <row r="51" spans="1:7" ht="16.5">
      <c r="A51" s="355" t="s">
        <v>401</v>
      </c>
      <c r="B51" s="438"/>
      <c r="C51" s="439"/>
      <c r="D51" s="439"/>
      <c r="E51" s="440"/>
      <c r="F51" s="441"/>
      <c r="G51" s="379"/>
    </row>
    <row r="52" spans="1:7" ht="17.25" thickBot="1">
      <c r="A52" s="409" t="s">
        <v>429</v>
      </c>
      <c r="B52" s="410">
        <f>'CPI Grad'!C21</f>
        <v>0</v>
      </c>
      <c r="C52" s="410">
        <f>'CPI Grad'!F21</f>
        <v>0</v>
      </c>
      <c r="D52" s="411">
        <f>ABS(B52-C52)</f>
        <v>0</v>
      </c>
      <c r="E52" s="412">
        <f>IF(B52&lt;3.1,1,IF(B52&lt;10.1,2,IF(B52&lt;20.1,3,IF(B52&lt;30.1,4,IF(B52&lt;40.1,4,IF(B52&lt;50.1,4,0))))))</f>
        <v>1</v>
      </c>
      <c r="F52" s="413" t="str">
        <f>IF(D52&lt;E52,"Yes",IF(D52=E52,"Yes",IF(D52&gt;E52,"No",0)))</f>
        <v>Yes</v>
      </c>
      <c r="G52" s="379"/>
    </row>
    <row r="53" spans="1:7" ht="17.25" thickTop="1">
      <c r="A53" s="417"/>
      <c r="B53" s="415"/>
      <c r="C53" s="415"/>
      <c r="D53" s="415"/>
      <c r="E53" s="416"/>
      <c r="F53" s="416"/>
      <c r="G53" s="379"/>
    </row>
    <row r="54" spans="1:7">
      <c r="A54" s="379"/>
      <c r="B54" s="379"/>
      <c r="C54" s="379"/>
      <c r="D54" s="379"/>
      <c r="E54" s="379"/>
      <c r="F54" s="379"/>
      <c r="G54" s="379"/>
    </row>
    <row r="55" spans="1:7" ht="15.75" thickBot="1">
      <c r="A55" s="379"/>
      <c r="B55" s="379"/>
      <c r="C55" s="379"/>
      <c r="D55" s="379"/>
      <c r="E55" s="379"/>
      <c r="F55" s="379"/>
      <c r="G55" s="379"/>
    </row>
    <row r="56" spans="1:7" ht="17.25" thickTop="1">
      <c r="A56" s="398"/>
      <c r="B56" s="604" t="s">
        <v>432</v>
      </c>
      <c r="C56" s="604" t="s">
        <v>433</v>
      </c>
      <c r="D56" s="607" t="s">
        <v>427</v>
      </c>
      <c r="E56" s="607" t="s">
        <v>428</v>
      </c>
      <c r="F56" s="601" t="s">
        <v>300</v>
      </c>
      <c r="G56" s="379"/>
    </row>
    <row r="57" spans="1:7" ht="16.5">
      <c r="A57" s="399" t="s">
        <v>91</v>
      </c>
      <c r="B57" s="605"/>
      <c r="C57" s="605"/>
      <c r="D57" s="608"/>
      <c r="E57" s="610"/>
      <c r="F57" s="602"/>
      <c r="G57" s="379"/>
    </row>
    <row r="58" spans="1:7" ht="16.5">
      <c r="A58" s="399" t="s">
        <v>97</v>
      </c>
      <c r="B58" s="605"/>
      <c r="C58" s="605"/>
      <c r="D58" s="608"/>
      <c r="E58" s="610"/>
      <c r="F58" s="602"/>
      <c r="G58" s="379"/>
    </row>
    <row r="59" spans="1:7" ht="17.25" thickBot="1">
      <c r="A59" s="400"/>
      <c r="B59" s="606"/>
      <c r="C59" s="606"/>
      <c r="D59" s="609"/>
      <c r="E59" s="611"/>
      <c r="F59" s="603"/>
      <c r="G59" s="379"/>
    </row>
    <row r="60" spans="1:7" ht="17.25" thickTop="1">
      <c r="A60" s="355" t="s">
        <v>395</v>
      </c>
      <c r="B60" s="401">
        <f>100-'CPI Grad'!D14</f>
        <v>100</v>
      </c>
      <c r="C60" s="401">
        <f>100-'CPI Grad'!G14</f>
        <v>100</v>
      </c>
      <c r="D60" s="401">
        <f t="shared" ref="D60:D67" si="6">ABS(B60-C60)</f>
        <v>0</v>
      </c>
      <c r="E60" s="404">
        <f>IF(B60&lt;3.1,2,IF(B60&lt;10.1,3,IF(B60&lt;20.1,5,IF(B60&lt;30.1,6,IF(B60&lt;40.1,7,IF(B60&lt;50.1,9,0))))))</f>
        <v>0</v>
      </c>
      <c r="F60" s="405" t="str">
        <f t="shared" ref="F60:F67" si="7">IF(D60&lt;E60,"Yes",IF(D60=E60,"Yes",IF(D60&gt;E60,"No",0)))</f>
        <v>Yes</v>
      </c>
      <c r="G60" s="379"/>
    </row>
    <row r="61" spans="1:7" ht="16.5">
      <c r="A61" s="355" t="s">
        <v>396</v>
      </c>
      <c r="B61" s="401">
        <f>'CPI Grad'!D14-'CPI Grad'!D15</f>
        <v>0</v>
      </c>
      <c r="C61" s="401">
        <f>'CPI Grad'!G14-'CPI Grad'!G15</f>
        <v>0</v>
      </c>
      <c r="D61" s="401">
        <f t="shared" si="6"/>
        <v>0</v>
      </c>
      <c r="E61" s="404">
        <f>IF(B61&lt;3.1,2,IF(B61&lt;10.1,3,IF(B61&lt;20.1,5,IF(B61&lt;30.1,6,IF(B61&lt;40.1,7,IF(B61&lt;50.1,9,0))))))</f>
        <v>2</v>
      </c>
      <c r="F61" s="405" t="str">
        <f t="shared" si="7"/>
        <v>Yes</v>
      </c>
      <c r="G61" s="379"/>
    </row>
    <row r="62" spans="1:7" ht="16.5">
      <c r="A62" s="355" t="s">
        <v>397</v>
      </c>
      <c r="B62" s="401">
        <f>'CPI Grad'!D15-'CPI Grad'!D16</f>
        <v>0</v>
      </c>
      <c r="C62" s="401">
        <f>'CPI Grad'!G15-'CPI Grad'!G16</f>
        <v>0</v>
      </c>
      <c r="D62" s="401">
        <f t="shared" si="6"/>
        <v>0</v>
      </c>
      <c r="E62" s="404">
        <f t="shared" ref="E62:E67" si="8">IF(B62&lt;3.1,1,IF(B62&lt;10.1,2,IF(B62&lt;20.1,3,IF(B62&lt;30.1,4,IF(B62&lt;40.1,4,IF(B62&lt;50.1,4,0))))))</f>
        <v>1</v>
      </c>
      <c r="F62" s="405" t="str">
        <f t="shared" si="7"/>
        <v>Yes</v>
      </c>
      <c r="G62" s="379"/>
    </row>
    <row r="63" spans="1:7" ht="16.5">
      <c r="A63" s="355" t="s">
        <v>398</v>
      </c>
      <c r="B63" s="401">
        <f>'CPI Grad'!D16-'CPI Grad'!D17</f>
        <v>0</v>
      </c>
      <c r="C63" s="401">
        <f>'CPI Grad'!G16-'CPI Grad'!G17</f>
        <v>0</v>
      </c>
      <c r="D63" s="401">
        <f t="shared" si="6"/>
        <v>0</v>
      </c>
      <c r="E63" s="404">
        <f t="shared" si="8"/>
        <v>1</v>
      </c>
      <c r="F63" s="405" t="str">
        <f t="shared" si="7"/>
        <v>Yes</v>
      </c>
      <c r="G63" s="379"/>
    </row>
    <row r="64" spans="1:7" ht="16.5">
      <c r="A64" s="355" t="s">
        <v>399</v>
      </c>
      <c r="B64" s="401">
        <f>'CPI Grad'!D17-'CPI Grad'!D18</f>
        <v>0</v>
      </c>
      <c r="C64" s="401">
        <f>'CPI Grad'!G17-'CPI Grad'!G18</f>
        <v>0</v>
      </c>
      <c r="D64" s="401">
        <f t="shared" si="6"/>
        <v>0</v>
      </c>
      <c r="E64" s="404">
        <f t="shared" si="8"/>
        <v>1</v>
      </c>
      <c r="F64" s="405" t="str">
        <f t="shared" si="7"/>
        <v>Yes</v>
      </c>
      <c r="G64" s="379"/>
    </row>
    <row r="65" spans="1:7" ht="16.5">
      <c r="A65" s="355" t="s">
        <v>400</v>
      </c>
      <c r="B65" s="401">
        <f>'CPI Grad'!D18-'CPI Grad'!D19</f>
        <v>0</v>
      </c>
      <c r="C65" s="401">
        <f>'CPI Grad'!G18-'CPI Grad'!G19</f>
        <v>0</v>
      </c>
      <c r="D65" s="401">
        <f t="shared" si="6"/>
        <v>0</v>
      </c>
      <c r="E65" s="404">
        <f t="shared" si="8"/>
        <v>1</v>
      </c>
      <c r="F65" s="405" t="str">
        <f t="shared" si="7"/>
        <v>Yes</v>
      </c>
      <c r="G65" s="378"/>
    </row>
    <row r="66" spans="1:7" ht="16.5">
      <c r="A66" s="355" t="s">
        <v>401</v>
      </c>
      <c r="B66" s="418">
        <f>'CPI Grad'!D19-'CPI Grad'!D20</f>
        <v>0</v>
      </c>
      <c r="C66" s="418">
        <f>'CPI Grad'!G19-'CPI Grad'!G20</f>
        <v>0</v>
      </c>
      <c r="D66" s="401">
        <f t="shared" si="6"/>
        <v>0</v>
      </c>
      <c r="E66" s="404">
        <f t="shared" si="8"/>
        <v>1</v>
      </c>
      <c r="F66" s="405" t="str">
        <f t="shared" si="7"/>
        <v>Yes</v>
      </c>
      <c r="G66" s="379"/>
    </row>
    <row r="67" spans="1:7" ht="17.25" thickBot="1">
      <c r="A67" s="409" t="s">
        <v>429</v>
      </c>
      <c r="B67" s="419">
        <f>'CPI Grad'!D21</f>
        <v>0</v>
      </c>
      <c r="C67" s="419">
        <f>'CPI Grad'!G21</f>
        <v>0</v>
      </c>
      <c r="D67" s="411">
        <f t="shared" si="6"/>
        <v>0</v>
      </c>
      <c r="E67" s="420">
        <f t="shared" si="8"/>
        <v>1</v>
      </c>
      <c r="F67" s="421" t="str">
        <f t="shared" si="7"/>
        <v>Yes</v>
      </c>
      <c r="G67" s="379"/>
    </row>
    <row r="68" spans="1:7" ht="17.25" thickTop="1">
      <c r="A68" s="417"/>
      <c r="B68" s="415"/>
      <c r="C68" s="415"/>
      <c r="D68" s="415"/>
      <c r="E68" s="416"/>
      <c r="F68" s="416"/>
      <c r="G68" s="378"/>
    </row>
    <row r="69" spans="1:7" ht="16.5">
      <c r="A69" s="422"/>
      <c r="B69" s="431" t="s">
        <v>443</v>
      </c>
      <c r="C69" s="431" t="s">
        <v>444</v>
      </c>
      <c r="D69" s="442" t="s">
        <v>445</v>
      </c>
      <c r="E69" s="379"/>
      <c r="F69" s="379"/>
      <c r="G69" s="379"/>
    </row>
    <row r="70" spans="1:7" ht="16.5">
      <c r="A70" s="424" t="s">
        <v>434</v>
      </c>
      <c r="B70" s="498"/>
      <c r="C70" s="498"/>
      <c r="D70" s="499"/>
      <c r="E70" s="445" t="s">
        <v>435</v>
      </c>
      <c r="F70" s="429"/>
      <c r="G70" s="444"/>
    </row>
    <row r="71" spans="1:7" ht="16.5">
      <c r="A71" s="427"/>
      <c r="B71" s="500"/>
      <c r="C71" s="500"/>
      <c r="D71" s="500"/>
      <c r="E71" s="428" t="s">
        <v>405</v>
      </c>
      <c r="F71" s="429"/>
      <c r="G71" s="430"/>
    </row>
    <row r="72" spans="1:7" ht="16.5">
      <c r="A72" s="424" t="s">
        <v>436</v>
      </c>
      <c r="B72" s="498"/>
      <c r="C72" s="498"/>
      <c r="D72" s="499"/>
      <c r="E72" s="428" t="s">
        <v>405</v>
      </c>
      <c r="F72" s="432"/>
      <c r="G72" s="432"/>
    </row>
    <row r="73" spans="1:7" ht="16.5">
      <c r="A73" s="433"/>
      <c r="B73" s="501"/>
      <c r="C73" s="500"/>
      <c r="D73" s="500"/>
      <c r="E73" s="428" t="s">
        <v>405</v>
      </c>
      <c r="F73" s="434"/>
      <c r="G73" s="434"/>
    </row>
    <row r="74" spans="1:7" ht="16.5">
      <c r="A74" s="435" t="s">
        <v>437</v>
      </c>
      <c r="B74" s="498"/>
      <c r="C74" s="498"/>
      <c r="D74" s="499"/>
      <c r="E74" s="428" t="s">
        <v>405</v>
      </c>
      <c r="F74" s="434"/>
      <c r="G74" s="434"/>
    </row>
    <row r="75" spans="1:7" ht="16.5">
      <c r="A75" s="427"/>
      <c r="B75" s="501"/>
      <c r="C75" s="500"/>
      <c r="D75" s="500"/>
      <c r="E75" s="428" t="s">
        <v>405</v>
      </c>
      <c r="F75" s="434"/>
      <c r="G75" s="434"/>
    </row>
    <row r="76" spans="1:7" ht="16.5">
      <c r="A76" s="424" t="s">
        <v>438</v>
      </c>
      <c r="B76" s="498"/>
      <c r="C76" s="498"/>
      <c r="D76" s="499"/>
      <c r="E76" s="428" t="s">
        <v>405</v>
      </c>
      <c r="F76" s="434"/>
      <c r="G76" s="434"/>
    </row>
    <row r="77" spans="1:7" ht="16.5">
      <c r="A77" s="427"/>
      <c r="B77" s="500"/>
      <c r="C77" s="500"/>
      <c r="D77" s="500"/>
      <c r="E77" s="428" t="s">
        <v>405</v>
      </c>
      <c r="F77" s="434"/>
      <c r="G77" s="434"/>
    </row>
    <row r="78" spans="1:7" ht="16.5">
      <c r="A78" s="424" t="s">
        <v>439</v>
      </c>
      <c r="B78" s="498"/>
      <c r="C78" s="498"/>
      <c r="D78" s="499"/>
      <c r="E78" s="422"/>
      <c r="F78" s="422"/>
      <c r="G78" s="422"/>
    </row>
    <row r="79" spans="1:7">
      <c r="A79" s="427"/>
      <c r="B79" s="500"/>
      <c r="C79" s="500"/>
      <c r="D79" s="500"/>
      <c r="E79" s="422"/>
      <c r="F79" s="422"/>
      <c r="G79" s="422"/>
    </row>
    <row r="80" spans="1:7" ht="16.5">
      <c r="A80" s="424" t="s">
        <v>440</v>
      </c>
      <c r="B80" s="498"/>
      <c r="C80" s="498"/>
      <c r="D80" s="499"/>
      <c r="E80" s="425" t="s">
        <v>407</v>
      </c>
      <c r="F80" s="426"/>
      <c r="G80" s="436"/>
    </row>
    <row r="81" spans="1:7">
      <c r="A81" s="422"/>
      <c r="B81" s="423"/>
      <c r="C81" s="423"/>
      <c r="D81" s="423"/>
      <c r="E81" s="423"/>
      <c r="F81" s="379"/>
      <c r="G81" s="379"/>
    </row>
    <row r="82" spans="1:7">
      <c r="A82" s="422"/>
      <c r="C82" s="423"/>
      <c r="D82" s="423"/>
      <c r="E82" s="423"/>
      <c r="F82" s="379"/>
      <c r="G82" s="379"/>
    </row>
    <row r="83" spans="1:7">
      <c r="A83" s="422"/>
      <c r="B83" s="423"/>
      <c r="C83" s="422"/>
      <c r="D83" s="423"/>
      <c r="E83" s="423"/>
      <c r="F83" s="379"/>
      <c r="G83" s="379"/>
    </row>
    <row r="84" spans="1:7">
      <c r="A84" s="422"/>
      <c r="B84" s="422"/>
      <c r="C84" s="422"/>
      <c r="D84" s="423"/>
      <c r="E84" s="423"/>
      <c r="F84" s="379"/>
      <c r="G84" s="379"/>
    </row>
  </sheetData>
  <sheetProtection algorithmName="SHA-512" hashValue="bVg/MQFZkebPzhb6JmxdGbYOCyCtXLXlhv1DAIbc900jwe2X2IMngqtgY28rGoQIVEepN9tW8ru5UIm+NQdOuw==" saltValue="Z+Lj/PCOHOYNNEsZUxAXxw==" spinCount="100000" sheet="1" objects="1" scenarios="1"/>
  <mergeCells count="22">
    <mergeCell ref="A1:G1"/>
    <mergeCell ref="B2:C2"/>
    <mergeCell ref="B3:C3"/>
    <mergeCell ref="B4:C4"/>
    <mergeCell ref="B5:C5"/>
    <mergeCell ref="B6:C6"/>
    <mergeCell ref="B8:C8"/>
    <mergeCell ref="F36:F40"/>
    <mergeCell ref="B36:B40"/>
    <mergeCell ref="E17:E20"/>
    <mergeCell ref="F17:F20"/>
    <mergeCell ref="D17:D20"/>
    <mergeCell ref="D36:D40"/>
    <mergeCell ref="E36:E40"/>
    <mergeCell ref="B17:B20"/>
    <mergeCell ref="C17:C20"/>
    <mergeCell ref="C36:C40"/>
    <mergeCell ref="F56:F59"/>
    <mergeCell ref="B56:B59"/>
    <mergeCell ref="C56:C59"/>
    <mergeCell ref="D56:D59"/>
    <mergeCell ref="E56:E59"/>
  </mergeCells>
  <phoneticPr fontId="47" type="noConversion"/>
  <pageMargins left="0.75" right="0.75" top="1" bottom="1" header="0.5" footer="0.5"/>
  <pageSetup scale="46" orientation="portrait" horizontalDpi="4294967294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50"/>
  <sheetViews>
    <sheetView view="pageBreakPreview" zoomScaleNormal="100" workbookViewId="0">
      <selection activeCell="P11" sqref="P11:P50"/>
    </sheetView>
  </sheetViews>
  <sheetFormatPr defaultColWidth="7.5546875" defaultRowHeight="15"/>
  <cols>
    <col min="1" max="1" width="9.44140625" customWidth="1"/>
    <col min="2" max="3" width="6.77734375" customWidth="1"/>
    <col min="4" max="4" width="6" customWidth="1"/>
    <col min="5" max="6" width="5.21875" customWidth="1"/>
    <col min="7" max="7" width="6" customWidth="1"/>
    <col min="8" max="11" width="5.21875" customWidth="1"/>
    <col min="12" max="13" width="6.77734375" customWidth="1"/>
    <col min="14" max="14" width="8.33203125" customWidth="1"/>
    <col min="15" max="15" width="6.77734375" customWidth="1"/>
    <col min="16" max="16" width="5.21875" customWidth="1"/>
  </cols>
  <sheetData>
    <row r="1" spans="1:17" ht="19.899999999999999" customHeight="1">
      <c r="A1" s="228" t="s">
        <v>515</v>
      </c>
      <c r="B1" s="614" t="s">
        <v>344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249" t="s">
        <v>345</v>
      </c>
    </row>
    <row r="2" spans="1:17" ht="19.899999999999999" customHeight="1">
      <c r="A2" s="233" t="s">
        <v>516</v>
      </c>
      <c r="B2" s="531"/>
      <c r="C2" s="243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7" ht="19.899999999999999" customHeight="1">
      <c r="A3" s="306" t="s">
        <v>346</v>
      </c>
      <c r="B3" s="532"/>
      <c r="C3" s="292"/>
      <c r="D3" s="2"/>
      <c r="E3" s="2"/>
      <c r="F3" s="2"/>
      <c r="G3" s="2"/>
      <c r="H3" s="2"/>
      <c r="I3" s="2"/>
      <c r="J3" s="233"/>
      <c r="K3" s="233"/>
      <c r="L3" s="233"/>
      <c r="M3" s="233"/>
      <c r="N3" s="233" t="s">
        <v>252</v>
      </c>
      <c r="O3" s="532"/>
      <c r="P3" s="533"/>
      <c r="Q3" s="232"/>
    </row>
    <row r="4" spans="1:17" ht="19.899999999999999" customHeight="1">
      <c r="A4" s="306" t="s">
        <v>347</v>
      </c>
      <c r="B4" s="532"/>
      <c r="C4" s="292"/>
      <c r="D4" s="292"/>
      <c r="E4" s="2"/>
      <c r="F4" s="2"/>
      <c r="G4" s="2"/>
      <c r="H4" s="2"/>
      <c r="I4" s="2"/>
      <c r="J4" s="2"/>
      <c r="K4" s="230"/>
      <c r="L4" s="230"/>
      <c r="N4" s="233" t="s">
        <v>348</v>
      </c>
      <c r="O4" s="532"/>
      <c r="P4" s="307"/>
      <c r="Q4" s="232"/>
    </row>
    <row r="5" spans="1:17" ht="9.9499999999999993" customHeight="1">
      <c r="A5" s="306" t="s">
        <v>18</v>
      </c>
      <c r="B5" s="532"/>
      <c r="C5" s="292"/>
      <c r="D5" s="292"/>
      <c r="E5" s="2"/>
      <c r="F5" s="2"/>
      <c r="G5" s="2"/>
      <c r="H5" s="2"/>
      <c r="I5" s="2"/>
      <c r="J5" s="2"/>
      <c r="K5" s="230"/>
      <c r="L5" s="230"/>
      <c r="N5" s="233" t="s">
        <v>19</v>
      </c>
      <c r="O5" s="532"/>
      <c r="P5" s="307"/>
      <c r="Q5" s="233"/>
    </row>
    <row r="6" spans="1:17" ht="13.9" customHeight="1" thickBot="1">
      <c r="A6" s="2"/>
      <c r="B6" s="2"/>
      <c r="C6" s="2"/>
      <c r="D6" s="2"/>
      <c r="E6" s="2"/>
      <c r="F6" s="2"/>
      <c r="G6" s="2"/>
      <c r="H6" s="2"/>
      <c r="I6" s="2"/>
      <c r="J6" s="230"/>
      <c r="K6" s="230"/>
      <c r="L6" s="230"/>
      <c r="M6" s="230"/>
      <c r="N6" s="230"/>
      <c r="O6" s="534"/>
      <c r="P6" s="230"/>
      <c r="Q6" s="233"/>
    </row>
    <row r="7" spans="1:17" ht="13.9" customHeight="1" thickBot="1">
      <c r="A7" s="308" t="s">
        <v>349</v>
      </c>
      <c r="B7" s="309"/>
      <c r="C7" s="309"/>
      <c r="D7" s="309"/>
      <c r="E7" s="309"/>
      <c r="F7" s="309"/>
      <c r="G7" s="310"/>
      <c r="H7" s="308" t="s">
        <v>350</v>
      </c>
      <c r="I7" s="311"/>
      <c r="J7" s="309"/>
      <c r="K7" s="309"/>
      <c r="L7" s="309"/>
      <c r="M7" s="309"/>
      <c r="N7" s="309"/>
      <c r="O7" s="309"/>
      <c r="P7" s="309"/>
    </row>
    <row r="8" spans="1:17" ht="13.9" customHeight="1">
      <c r="A8" s="312"/>
      <c r="B8" s="312"/>
      <c r="C8" s="312"/>
      <c r="D8" s="312"/>
      <c r="E8" s="312"/>
      <c r="F8" s="312"/>
      <c r="G8" s="312"/>
      <c r="H8" s="313"/>
      <c r="J8" s="314"/>
      <c r="K8" s="315"/>
      <c r="L8" s="293" t="s">
        <v>351</v>
      </c>
      <c r="M8" s="293" t="s">
        <v>352</v>
      </c>
      <c r="N8" s="315"/>
      <c r="O8" s="297" t="s">
        <v>353</v>
      </c>
      <c r="P8" s="535"/>
    </row>
    <row r="9" spans="1:17" ht="13.9" customHeight="1">
      <c r="A9" s="317" t="s">
        <v>298</v>
      </c>
      <c r="B9" s="317" t="s">
        <v>354</v>
      </c>
      <c r="C9" s="317" t="s">
        <v>355</v>
      </c>
      <c r="D9" s="317"/>
      <c r="E9" s="317" t="s">
        <v>356</v>
      </c>
      <c r="F9" s="317" t="s">
        <v>357</v>
      </c>
      <c r="G9" s="317" t="s">
        <v>358</v>
      </c>
      <c r="H9" s="318" t="s">
        <v>359</v>
      </c>
      <c r="I9" s="536" t="s">
        <v>517</v>
      </c>
      <c r="J9" s="317" t="s">
        <v>361</v>
      </c>
      <c r="K9" s="317" t="s">
        <v>362</v>
      </c>
      <c r="L9" s="317" t="s">
        <v>363</v>
      </c>
      <c r="M9" s="317" t="s">
        <v>363</v>
      </c>
      <c r="N9" s="317" t="s">
        <v>364</v>
      </c>
      <c r="O9" s="278" t="s">
        <v>365</v>
      </c>
      <c r="P9" s="317" t="s">
        <v>366</v>
      </c>
    </row>
    <row r="10" spans="1:17" ht="19.899999999999999" customHeight="1">
      <c r="A10" s="321" t="s">
        <v>367</v>
      </c>
      <c r="B10" s="321" t="s">
        <v>368</v>
      </c>
      <c r="C10" s="321" t="s">
        <v>369</v>
      </c>
      <c r="D10" s="321" t="s">
        <v>370</v>
      </c>
      <c r="E10" s="321" t="s">
        <v>32</v>
      </c>
      <c r="F10" s="321" t="s">
        <v>371</v>
      </c>
      <c r="G10" s="321" t="s">
        <v>372</v>
      </c>
      <c r="H10" s="322" t="s">
        <v>373</v>
      </c>
      <c r="I10" s="322" t="s">
        <v>371</v>
      </c>
      <c r="J10" s="323" t="s">
        <v>374</v>
      </c>
      <c r="K10" s="321" t="s">
        <v>374</v>
      </c>
      <c r="L10" s="321" t="s">
        <v>375</v>
      </c>
      <c r="M10" s="321" t="s">
        <v>375</v>
      </c>
      <c r="N10" s="321" t="s">
        <v>376</v>
      </c>
      <c r="O10" s="241" t="s">
        <v>377</v>
      </c>
      <c r="P10" s="321" t="s">
        <v>378</v>
      </c>
    </row>
    <row r="11" spans="1:17" ht="19.899999999999999" customHeight="1">
      <c r="A11" s="491"/>
      <c r="B11" s="492"/>
      <c r="C11" s="537"/>
      <c r="D11" s="538"/>
      <c r="E11" s="539"/>
      <c r="F11" s="540"/>
      <c r="G11" s="541"/>
      <c r="H11" s="524"/>
      <c r="I11" s="542"/>
      <c r="J11" s="489"/>
      <c r="K11" s="489"/>
      <c r="L11" s="543"/>
      <c r="M11" s="543"/>
      <c r="N11" s="324" t="str">
        <f>IF(M11="","",ROUND(SUM((3*I11)/(2*K11*J11*J11)),6))</f>
        <v/>
      </c>
      <c r="O11" s="325">
        <f>MROUND(IF(N11="",0,(M11*N11)),5)</f>
        <v>0</v>
      </c>
      <c r="P11" s="473"/>
    </row>
    <row r="12" spans="1:17" ht="19.899999999999999" customHeight="1">
      <c r="A12" s="491"/>
      <c r="B12" s="492"/>
      <c r="C12" s="537"/>
      <c r="D12" s="538"/>
      <c r="E12" s="539"/>
      <c r="F12" s="540"/>
      <c r="G12" s="541"/>
      <c r="H12" s="524"/>
      <c r="I12" s="542"/>
      <c r="J12" s="489"/>
      <c r="K12" s="489"/>
      <c r="L12" s="543"/>
      <c r="M12" s="543"/>
      <c r="N12" s="324" t="str">
        <f t="shared" ref="N12:N50" si="0">IF(M12="","",ROUND(SUM((3*I12)/(2*K12*J12*J12)),6))</f>
        <v/>
      </c>
      <c r="O12" s="325">
        <f t="shared" ref="O12:O50" si="1">MROUND(IF(N12="",0,(M12*N12)),5)</f>
        <v>0</v>
      </c>
      <c r="P12" s="473"/>
    </row>
    <row r="13" spans="1:17" ht="19.899999999999999" customHeight="1">
      <c r="A13" s="491"/>
      <c r="B13" s="492"/>
      <c r="C13" s="537"/>
      <c r="D13" s="538"/>
      <c r="E13" s="539"/>
      <c r="F13" s="540"/>
      <c r="G13" s="541"/>
      <c r="H13" s="524"/>
      <c r="I13" s="542"/>
      <c r="J13" s="489"/>
      <c r="K13" s="489"/>
      <c r="L13" s="543"/>
      <c r="M13" s="543"/>
      <c r="N13" s="324" t="str">
        <f t="shared" si="0"/>
        <v/>
      </c>
      <c r="O13" s="325">
        <f t="shared" si="1"/>
        <v>0</v>
      </c>
      <c r="P13" s="473"/>
    </row>
    <row r="14" spans="1:17" ht="19.899999999999999" customHeight="1">
      <c r="A14" s="491"/>
      <c r="B14" s="492"/>
      <c r="C14" s="537"/>
      <c r="D14" s="538"/>
      <c r="E14" s="539"/>
      <c r="F14" s="540"/>
      <c r="G14" s="541"/>
      <c r="H14" s="524"/>
      <c r="I14" s="542"/>
      <c r="J14" s="489"/>
      <c r="K14" s="489"/>
      <c r="L14" s="543"/>
      <c r="M14" s="543"/>
      <c r="N14" s="324" t="str">
        <f t="shared" si="0"/>
        <v/>
      </c>
      <c r="O14" s="325">
        <f t="shared" si="1"/>
        <v>0</v>
      </c>
      <c r="P14" s="473"/>
    </row>
    <row r="15" spans="1:17" ht="19.899999999999999" customHeight="1">
      <c r="A15" s="491"/>
      <c r="B15" s="492"/>
      <c r="C15" s="537"/>
      <c r="D15" s="538"/>
      <c r="E15" s="539"/>
      <c r="F15" s="540"/>
      <c r="G15" s="541"/>
      <c r="H15" s="524"/>
      <c r="I15" s="542"/>
      <c r="J15" s="489"/>
      <c r="K15" s="489"/>
      <c r="L15" s="543"/>
      <c r="M15" s="543"/>
      <c r="N15" s="324" t="str">
        <f t="shared" si="0"/>
        <v/>
      </c>
      <c r="O15" s="325">
        <f t="shared" si="1"/>
        <v>0</v>
      </c>
      <c r="P15" s="473"/>
    </row>
    <row r="16" spans="1:17" ht="19.899999999999999" customHeight="1">
      <c r="A16" s="491"/>
      <c r="B16" s="492"/>
      <c r="C16" s="537"/>
      <c r="D16" s="538"/>
      <c r="E16" s="539"/>
      <c r="F16" s="540"/>
      <c r="G16" s="541"/>
      <c r="H16" s="524"/>
      <c r="I16" s="542"/>
      <c r="J16" s="489"/>
      <c r="K16" s="489"/>
      <c r="L16" s="543"/>
      <c r="M16" s="543"/>
      <c r="N16" s="324" t="str">
        <f t="shared" si="0"/>
        <v/>
      </c>
      <c r="O16" s="325">
        <f t="shared" si="1"/>
        <v>0</v>
      </c>
      <c r="P16" s="473"/>
    </row>
    <row r="17" spans="1:16" ht="19.899999999999999" customHeight="1">
      <c r="A17" s="491"/>
      <c r="B17" s="492"/>
      <c r="C17" s="537"/>
      <c r="D17" s="538"/>
      <c r="E17" s="539"/>
      <c r="F17" s="540"/>
      <c r="G17" s="541"/>
      <c r="H17" s="524"/>
      <c r="I17" s="542"/>
      <c r="J17" s="489"/>
      <c r="K17" s="489"/>
      <c r="L17" s="543"/>
      <c r="M17" s="543"/>
      <c r="N17" s="324" t="str">
        <f t="shared" si="0"/>
        <v/>
      </c>
      <c r="O17" s="325">
        <f t="shared" si="1"/>
        <v>0</v>
      </c>
      <c r="P17" s="473"/>
    </row>
    <row r="18" spans="1:16" ht="19.899999999999999" customHeight="1">
      <c r="A18" s="491"/>
      <c r="B18" s="492"/>
      <c r="C18" s="537"/>
      <c r="D18" s="538"/>
      <c r="E18" s="539"/>
      <c r="F18" s="540"/>
      <c r="G18" s="541"/>
      <c r="H18" s="524"/>
      <c r="I18" s="542"/>
      <c r="J18" s="489"/>
      <c r="K18" s="489"/>
      <c r="L18" s="543"/>
      <c r="M18" s="543"/>
      <c r="N18" s="324" t="str">
        <f t="shared" si="0"/>
        <v/>
      </c>
      <c r="O18" s="325">
        <f t="shared" si="1"/>
        <v>0</v>
      </c>
      <c r="P18" s="473"/>
    </row>
    <row r="19" spans="1:16" ht="19.899999999999999" customHeight="1">
      <c r="A19" s="491"/>
      <c r="B19" s="492"/>
      <c r="C19" s="537"/>
      <c r="D19" s="538"/>
      <c r="E19" s="539"/>
      <c r="F19" s="540"/>
      <c r="G19" s="541"/>
      <c r="H19" s="524"/>
      <c r="I19" s="542"/>
      <c r="J19" s="489"/>
      <c r="K19" s="489"/>
      <c r="L19" s="543"/>
      <c r="M19" s="543"/>
      <c r="N19" s="324" t="str">
        <f t="shared" si="0"/>
        <v/>
      </c>
      <c r="O19" s="325">
        <f t="shared" si="1"/>
        <v>0</v>
      </c>
      <c r="P19" s="473"/>
    </row>
    <row r="20" spans="1:16" ht="19.899999999999999" customHeight="1">
      <c r="A20" s="491"/>
      <c r="B20" s="492"/>
      <c r="C20" s="537"/>
      <c r="D20" s="538"/>
      <c r="E20" s="539"/>
      <c r="F20" s="540"/>
      <c r="G20" s="541"/>
      <c r="H20" s="524"/>
      <c r="I20" s="542"/>
      <c r="J20" s="489"/>
      <c r="K20" s="489"/>
      <c r="L20" s="543"/>
      <c r="M20" s="543"/>
      <c r="N20" s="324" t="str">
        <f t="shared" si="0"/>
        <v/>
      </c>
      <c r="O20" s="325">
        <f t="shared" si="1"/>
        <v>0</v>
      </c>
      <c r="P20" s="473"/>
    </row>
    <row r="21" spans="1:16" ht="19.899999999999999" customHeight="1">
      <c r="A21" s="491"/>
      <c r="B21" s="492"/>
      <c r="C21" s="537"/>
      <c r="D21" s="538"/>
      <c r="E21" s="539"/>
      <c r="F21" s="540"/>
      <c r="G21" s="541"/>
      <c r="H21" s="524"/>
      <c r="I21" s="542"/>
      <c r="J21" s="489"/>
      <c r="K21" s="489"/>
      <c r="L21" s="543"/>
      <c r="M21" s="543"/>
      <c r="N21" s="324" t="str">
        <f t="shared" si="0"/>
        <v/>
      </c>
      <c r="O21" s="325">
        <f t="shared" si="1"/>
        <v>0</v>
      </c>
      <c r="P21" s="473"/>
    </row>
    <row r="22" spans="1:16" ht="19.899999999999999" customHeight="1">
      <c r="A22" s="491"/>
      <c r="B22" s="492"/>
      <c r="C22" s="537"/>
      <c r="D22" s="538"/>
      <c r="E22" s="539"/>
      <c r="F22" s="540"/>
      <c r="G22" s="541"/>
      <c r="H22" s="524"/>
      <c r="I22" s="542"/>
      <c r="J22" s="489"/>
      <c r="K22" s="489"/>
      <c r="L22" s="543"/>
      <c r="M22" s="543"/>
      <c r="N22" s="324" t="str">
        <f t="shared" si="0"/>
        <v/>
      </c>
      <c r="O22" s="325">
        <f t="shared" si="1"/>
        <v>0</v>
      </c>
      <c r="P22" s="473"/>
    </row>
    <row r="23" spans="1:16" ht="19.899999999999999" customHeight="1">
      <c r="A23" s="491"/>
      <c r="B23" s="492"/>
      <c r="C23" s="537"/>
      <c r="D23" s="538"/>
      <c r="E23" s="539"/>
      <c r="F23" s="540"/>
      <c r="G23" s="541"/>
      <c r="H23" s="524"/>
      <c r="I23" s="542"/>
      <c r="J23" s="489"/>
      <c r="K23" s="489"/>
      <c r="L23" s="543"/>
      <c r="M23" s="543"/>
      <c r="N23" s="324" t="str">
        <f t="shared" si="0"/>
        <v/>
      </c>
      <c r="O23" s="325">
        <f t="shared" si="1"/>
        <v>0</v>
      </c>
      <c r="P23" s="473"/>
    </row>
    <row r="24" spans="1:16" ht="19.899999999999999" customHeight="1">
      <c r="A24" s="491"/>
      <c r="B24" s="492"/>
      <c r="C24" s="537"/>
      <c r="D24" s="538"/>
      <c r="E24" s="539"/>
      <c r="F24" s="540"/>
      <c r="G24" s="541"/>
      <c r="H24" s="524"/>
      <c r="I24" s="542"/>
      <c r="J24" s="489"/>
      <c r="K24" s="489"/>
      <c r="L24" s="543"/>
      <c r="M24" s="543"/>
      <c r="N24" s="324" t="str">
        <f t="shared" si="0"/>
        <v/>
      </c>
      <c r="O24" s="325">
        <f t="shared" si="1"/>
        <v>0</v>
      </c>
      <c r="P24" s="473"/>
    </row>
    <row r="25" spans="1:16" ht="19.899999999999999" customHeight="1">
      <c r="A25" s="491"/>
      <c r="B25" s="492"/>
      <c r="C25" s="537"/>
      <c r="D25" s="538"/>
      <c r="E25" s="539"/>
      <c r="F25" s="540"/>
      <c r="G25" s="541"/>
      <c r="H25" s="524"/>
      <c r="I25" s="542"/>
      <c r="J25" s="489"/>
      <c r="K25" s="489"/>
      <c r="L25" s="543"/>
      <c r="M25" s="543"/>
      <c r="N25" s="324" t="str">
        <f t="shared" si="0"/>
        <v/>
      </c>
      <c r="O25" s="325">
        <f t="shared" si="1"/>
        <v>0</v>
      </c>
      <c r="P25" s="473"/>
    </row>
    <row r="26" spans="1:16" ht="19.899999999999999" customHeight="1">
      <c r="A26" s="491"/>
      <c r="B26" s="492"/>
      <c r="C26" s="537"/>
      <c r="D26" s="538"/>
      <c r="E26" s="539"/>
      <c r="F26" s="540"/>
      <c r="G26" s="541"/>
      <c r="H26" s="524"/>
      <c r="I26" s="542"/>
      <c r="J26" s="489"/>
      <c r="K26" s="489"/>
      <c r="L26" s="543"/>
      <c r="M26" s="543"/>
      <c r="N26" s="324" t="str">
        <f t="shared" si="0"/>
        <v/>
      </c>
      <c r="O26" s="325">
        <f t="shared" si="1"/>
        <v>0</v>
      </c>
      <c r="P26" s="473"/>
    </row>
    <row r="27" spans="1:16" ht="19.899999999999999" customHeight="1">
      <c r="A27" s="491"/>
      <c r="B27" s="492"/>
      <c r="C27" s="537"/>
      <c r="D27" s="538"/>
      <c r="E27" s="539"/>
      <c r="F27" s="540"/>
      <c r="G27" s="541"/>
      <c r="H27" s="524"/>
      <c r="I27" s="542"/>
      <c r="J27" s="489"/>
      <c r="K27" s="489"/>
      <c r="L27" s="543"/>
      <c r="M27" s="543"/>
      <c r="N27" s="324" t="str">
        <f t="shared" si="0"/>
        <v/>
      </c>
      <c r="O27" s="325">
        <f t="shared" si="1"/>
        <v>0</v>
      </c>
      <c r="P27" s="473"/>
    </row>
    <row r="28" spans="1:16" ht="19.899999999999999" customHeight="1">
      <c r="A28" s="491"/>
      <c r="B28" s="492"/>
      <c r="C28" s="537"/>
      <c r="D28" s="538"/>
      <c r="E28" s="539"/>
      <c r="F28" s="540"/>
      <c r="G28" s="541"/>
      <c r="H28" s="524"/>
      <c r="I28" s="542"/>
      <c r="J28" s="489"/>
      <c r="K28" s="489"/>
      <c r="L28" s="543"/>
      <c r="M28" s="543"/>
      <c r="N28" s="324" t="str">
        <f t="shared" si="0"/>
        <v/>
      </c>
      <c r="O28" s="325">
        <f t="shared" si="1"/>
        <v>0</v>
      </c>
      <c r="P28" s="473"/>
    </row>
    <row r="29" spans="1:16" ht="19.899999999999999" customHeight="1">
      <c r="A29" s="491"/>
      <c r="B29" s="492"/>
      <c r="C29" s="537"/>
      <c r="D29" s="538"/>
      <c r="E29" s="539"/>
      <c r="F29" s="540"/>
      <c r="G29" s="541"/>
      <c r="H29" s="524"/>
      <c r="I29" s="542"/>
      <c r="J29" s="489"/>
      <c r="K29" s="489"/>
      <c r="L29" s="543"/>
      <c r="M29" s="543"/>
      <c r="N29" s="324" t="str">
        <f t="shared" si="0"/>
        <v/>
      </c>
      <c r="O29" s="325">
        <f t="shared" si="1"/>
        <v>0</v>
      </c>
      <c r="P29" s="473"/>
    </row>
    <row r="30" spans="1:16">
      <c r="A30" s="491"/>
      <c r="B30" s="492"/>
      <c r="C30" s="537"/>
      <c r="D30" s="538"/>
      <c r="E30" s="539"/>
      <c r="F30" s="540"/>
      <c r="G30" s="541"/>
      <c r="H30" s="524"/>
      <c r="I30" s="542"/>
      <c r="J30" s="489"/>
      <c r="K30" s="489"/>
      <c r="L30" s="543"/>
      <c r="M30" s="543"/>
      <c r="N30" s="324" t="str">
        <f t="shared" si="0"/>
        <v/>
      </c>
      <c r="O30" s="325">
        <f t="shared" si="1"/>
        <v>0</v>
      </c>
      <c r="P30" s="473"/>
    </row>
    <row r="31" spans="1:16">
      <c r="A31" s="491"/>
      <c r="B31" s="492"/>
      <c r="C31" s="537"/>
      <c r="D31" s="538"/>
      <c r="E31" s="539"/>
      <c r="F31" s="540"/>
      <c r="G31" s="541"/>
      <c r="H31" s="524"/>
      <c r="I31" s="542"/>
      <c r="J31" s="489"/>
      <c r="K31" s="489"/>
      <c r="L31" s="543"/>
      <c r="M31" s="543"/>
      <c r="N31" s="324" t="str">
        <f t="shared" si="0"/>
        <v/>
      </c>
      <c r="O31" s="325">
        <f t="shared" si="1"/>
        <v>0</v>
      </c>
      <c r="P31" s="473"/>
    </row>
    <row r="32" spans="1:16">
      <c r="A32" s="491"/>
      <c r="B32" s="492"/>
      <c r="C32" s="537"/>
      <c r="D32" s="538"/>
      <c r="E32" s="539"/>
      <c r="F32" s="540"/>
      <c r="G32" s="541"/>
      <c r="H32" s="524"/>
      <c r="I32" s="542"/>
      <c r="J32" s="489"/>
      <c r="K32" s="489"/>
      <c r="L32" s="543"/>
      <c r="M32" s="543"/>
      <c r="N32" s="324" t="str">
        <f t="shared" si="0"/>
        <v/>
      </c>
      <c r="O32" s="325">
        <f t="shared" si="1"/>
        <v>0</v>
      </c>
      <c r="P32" s="473"/>
    </row>
    <row r="33" spans="1:16">
      <c r="A33" s="491"/>
      <c r="B33" s="492"/>
      <c r="C33" s="537"/>
      <c r="D33" s="538"/>
      <c r="E33" s="539"/>
      <c r="F33" s="540"/>
      <c r="G33" s="541"/>
      <c r="H33" s="524"/>
      <c r="I33" s="542"/>
      <c r="J33" s="489"/>
      <c r="K33" s="489"/>
      <c r="L33" s="543"/>
      <c r="M33" s="543"/>
      <c r="N33" s="324" t="str">
        <f t="shared" si="0"/>
        <v/>
      </c>
      <c r="O33" s="325">
        <f t="shared" si="1"/>
        <v>0</v>
      </c>
      <c r="P33" s="473"/>
    </row>
    <row r="34" spans="1:16">
      <c r="A34" s="491"/>
      <c r="B34" s="492"/>
      <c r="C34" s="537"/>
      <c r="D34" s="538"/>
      <c r="E34" s="539"/>
      <c r="F34" s="540"/>
      <c r="G34" s="541"/>
      <c r="H34" s="524"/>
      <c r="I34" s="542"/>
      <c r="J34" s="489"/>
      <c r="K34" s="489"/>
      <c r="L34" s="543"/>
      <c r="M34" s="543"/>
      <c r="N34" s="324" t="str">
        <f t="shared" si="0"/>
        <v/>
      </c>
      <c r="O34" s="325">
        <f t="shared" si="1"/>
        <v>0</v>
      </c>
      <c r="P34" s="473"/>
    </row>
    <row r="35" spans="1:16">
      <c r="A35" s="491"/>
      <c r="B35" s="492"/>
      <c r="C35" s="537"/>
      <c r="D35" s="538"/>
      <c r="E35" s="539"/>
      <c r="F35" s="540"/>
      <c r="G35" s="541"/>
      <c r="H35" s="524"/>
      <c r="I35" s="542"/>
      <c r="J35" s="489"/>
      <c r="K35" s="489"/>
      <c r="L35" s="543"/>
      <c r="M35" s="543"/>
      <c r="N35" s="324" t="str">
        <f t="shared" si="0"/>
        <v/>
      </c>
      <c r="O35" s="325">
        <f t="shared" si="1"/>
        <v>0</v>
      </c>
      <c r="P35" s="473"/>
    </row>
    <row r="36" spans="1:16">
      <c r="A36" s="491"/>
      <c r="B36" s="492"/>
      <c r="C36" s="537"/>
      <c r="D36" s="538"/>
      <c r="E36" s="539"/>
      <c r="F36" s="540"/>
      <c r="G36" s="541"/>
      <c r="H36" s="524"/>
      <c r="I36" s="542"/>
      <c r="J36" s="489"/>
      <c r="K36" s="489"/>
      <c r="L36" s="543"/>
      <c r="M36" s="543"/>
      <c r="N36" s="324" t="str">
        <f t="shared" si="0"/>
        <v/>
      </c>
      <c r="O36" s="325">
        <f t="shared" si="1"/>
        <v>0</v>
      </c>
      <c r="P36" s="473"/>
    </row>
    <row r="37" spans="1:16">
      <c r="A37" s="491"/>
      <c r="B37" s="492"/>
      <c r="C37" s="537"/>
      <c r="D37" s="538"/>
      <c r="E37" s="539"/>
      <c r="F37" s="540"/>
      <c r="G37" s="541"/>
      <c r="H37" s="524"/>
      <c r="I37" s="542"/>
      <c r="J37" s="489"/>
      <c r="K37" s="489"/>
      <c r="L37" s="543"/>
      <c r="M37" s="543"/>
      <c r="N37" s="324" t="str">
        <f t="shared" si="0"/>
        <v/>
      </c>
      <c r="O37" s="325">
        <f t="shared" si="1"/>
        <v>0</v>
      </c>
      <c r="P37" s="473"/>
    </row>
    <row r="38" spans="1:16">
      <c r="A38" s="491"/>
      <c r="B38" s="492"/>
      <c r="C38" s="537"/>
      <c r="D38" s="538"/>
      <c r="E38" s="539"/>
      <c r="F38" s="540"/>
      <c r="G38" s="541"/>
      <c r="H38" s="524"/>
      <c r="I38" s="542"/>
      <c r="J38" s="489"/>
      <c r="K38" s="489"/>
      <c r="L38" s="543"/>
      <c r="M38" s="543"/>
      <c r="N38" s="324" t="str">
        <f t="shared" si="0"/>
        <v/>
      </c>
      <c r="O38" s="325">
        <f t="shared" si="1"/>
        <v>0</v>
      </c>
      <c r="P38" s="473"/>
    </row>
    <row r="39" spans="1:16">
      <c r="A39" s="491"/>
      <c r="B39" s="492"/>
      <c r="C39" s="537"/>
      <c r="D39" s="538"/>
      <c r="E39" s="539"/>
      <c r="F39" s="540"/>
      <c r="G39" s="541"/>
      <c r="H39" s="524"/>
      <c r="I39" s="542"/>
      <c r="J39" s="489"/>
      <c r="K39" s="489"/>
      <c r="L39" s="543"/>
      <c r="M39" s="543"/>
      <c r="N39" s="324" t="str">
        <f t="shared" si="0"/>
        <v/>
      </c>
      <c r="O39" s="325">
        <f t="shared" si="1"/>
        <v>0</v>
      </c>
      <c r="P39" s="473"/>
    </row>
    <row r="40" spans="1:16">
      <c r="A40" s="491"/>
      <c r="B40" s="492"/>
      <c r="C40" s="537"/>
      <c r="D40" s="538"/>
      <c r="E40" s="539"/>
      <c r="F40" s="540"/>
      <c r="G40" s="541"/>
      <c r="H40" s="524"/>
      <c r="I40" s="542"/>
      <c r="J40" s="489"/>
      <c r="K40" s="489"/>
      <c r="L40" s="543"/>
      <c r="M40" s="543"/>
      <c r="N40" s="324" t="str">
        <f t="shared" si="0"/>
        <v/>
      </c>
      <c r="O40" s="325">
        <f t="shared" si="1"/>
        <v>0</v>
      </c>
      <c r="P40" s="473"/>
    </row>
    <row r="41" spans="1:16">
      <c r="A41" s="491"/>
      <c r="B41" s="492"/>
      <c r="C41" s="537"/>
      <c r="D41" s="538"/>
      <c r="E41" s="539"/>
      <c r="F41" s="540"/>
      <c r="G41" s="541"/>
      <c r="H41" s="524"/>
      <c r="I41" s="542"/>
      <c r="J41" s="489"/>
      <c r="K41" s="489"/>
      <c r="L41" s="543"/>
      <c r="M41" s="543"/>
      <c r="N41" s="324" t="str">
        <f t="shared" si="0"/>
        <v/>
      </c>
      <c r="O41" s="325">
        <f t="shared" si="1"/>
        <v>0</v>
      </c>
      <c r="P41" s="473"/>
    </row>
    <row r="42" spans="1:16">
      <c r="A42" s="491"/>
      <c r="B42" s="492"/>
      <c r="C42" s="537"/>
      <c r="D42" s="538"/>
      <c r="E42" s="539"/>
      <c r="F42" s="540"/>
      <c r="G42" s="541"/>
      <c r="H42" s="524"/>
      <c r="I42" s="542"/>
      <c r="J42" s="489"/>
      <c r="K42" s="489"/>
      <c r="L42" s="543"/>
      <c r="M42" s="543"/>
      <c r="N42" s="324" t="str">
        <f t="shared" si="0"/>
        <v/>
      </c>
      <c r="O42" s="325">
        <f t="shared" si="1"/>
        <v>0</v>
      </c>
      <c r="P42" s="473"/>
    </row>
    <row r="43" spans="1:16">
      <c r="A43" s="491"/>
      <c r="B43" s="492"/>
      <c r="C43" s="537"/>
      <c r="D43" s="538"/>
      <c r="E43" s="539"/>
      <c r="F43" s="540"/>
      <c r="G43" s="541"/>
      <c r="H43" s="524"/>
      <c r="I43" s="542"/>
      <c r="J43" s="489"/>
      <c r="K43" s="489"/>
      <c r="L43" s="543"/>
      <c r="M43" s="543"/>
      <c r="N43" s="324" t="str">
        <f t="shared" si="0"/>
        <v/>
      </c>
      <c r="O43" s="325">
        <f t="shared" si="1"/>
        <v>0</v>
      </c>
      <c r="P43" s="473"/>
    </row>
    <row r="44" spans="1:16">
      <c r="A44" s="491"/>
      <c r="B44" s="492"/>
      <c r="C44" s="537"/>
      <c r="D44" s="538"/>
      <c r="E44" s="539"/>
      <c r="F44" s="540"/>
      <c r="G44" s="541"/>
      <c r="H44" s="524"/>
      <c r="I44" s="542"/>
      <c r="J44" s="489"/>
      <c r="K44" s="489"/>
      <c r="L44" s="543"/>
      <c r="M44" s="543"/>
      <c r="N44" s="324" t="str">
        <f t="shared" si="0"/>
        <v/>
      </c>
      <c r="O44" s="325">
        <f t="shared" si="1"/>
        <v>0</v>
      </c>
      <c r="P44" s="473"/>
    </row>
    <row r="45" spans="1:16">
      <c r="A45" s="491"/>
      <c r="B45" s="492"/>
      <c r="C45" s="537"/>
      <c r="D45" s="538"/>
      <c r="E45" s="539"/>
      <c r="F45" s="540"/>
      <c r="G45" s="541"/>
      <c r="H45" s="524"/>
      <c r="I45" s="542"/>
      <c r="J45" s="489"/>
      <c r="K45" s="489"/>
      <c r="L45" s="543"/>
      <c r="M45" s="543"/>
      <c r="N45" s="324" t="str">
        <f t="shared" si="0"/>
        <v/>
      </c>
      <c r="O45" s="325">
        <f t="shared" si="1"/>
        <v>0</v>
      </c>
      <c r="P45" s="473"/>
    </row>
    <row r="46" spans="1:16">
      <c r="A46" s="491"/>
      <c r="B46" s="492"/>
      <c r="C46" s="537"/>
      <c r="D46" s="538"/>
      <c r="E46" s="539"/>
      <c r="F46" s="540"/>
      <c r="G46" s="541"/>
      <c r="H46" s="524"/>
      <c r="I46" s="542"/>
      <c r="J46" s="489"/>
      <c r="K46" s="489"/>
      <c r="L46" s="543"/>
      <c r="M46" s="543"/>
      <c r="N46" s="324" t="str">
        <f t="shared" si="0"/>
        <v/>
      </c>
      <c r="O46" s="325">
        <f t="shared" si="1"/>
        <v>0</v>
      </c>
      <c r="P46" s="473"/>
    </row>
    <row r="47" spans="1:16">
      <c r="A47" s="491"/>
      <c r="B47" s="492"/>
      <c r="C47" s="537"/>
      <c r="D47" s="538"/>
      <c r="E47" s="539"/>
      <c r="F47" s="540"/>
      <c r="G47" s="541"/>
      <c r="H47" s="524"/>
      <c r="I47" s="542"/>
      <c r="J47" s="489"/>
      <c r="K47" s="489"/>
      <c r="L47" s="543"/>
      <c r="M47" s="543"/>
      <c r="N47" s="324" t="str">
        <f t="shared" si="0"/>
        <v/>
      </c>
      <c r="O47" s="325">
        <f t="shared" si="1"/>
        <v>0</v>
      </c>
      <c r="P47" s="473"/>
    </row>
    <row r="48" spans="1:16">
      <c r="A48" s="491"/>
      <c r="B48" s="492"/>
      <c r="C48" s="537"/>
      <c r="D48" s="538"/>
      <c r="E48" s="539"/>
      <c r="F48" s="540"/>
      <c r="G48" s="541"/>
      <c r="H48" s="524"/>
      <c r="I48" s="542"/>
      <c r="J48" s="489"/>
      <c r="K48" s="489"/>
      <c r="L48" s="543"/>
      <c r="M48" s="543"/>
      <c r="N48" s="324" t="str">
        <f t="shared" si="0"/>
        <v/>
      </c>
      <c r="O48" s="325">
        <f t="shared" si="1"/>
        <v>0</v>
      </c>
      <c r="P48" s="473"/>
    </row>
    <row r="49" spans="1:16">
      <c r="A49" s="491"/>
      <c r="B49" s="492"/>
      <c r="C49" s="537"/>
      <c r="D49" s="538"/>
      <c r="E49" s="539"/>
      <c r="F49" s="540"/>
      <c r="G49" s="541"/>
      <c r="H49" s="524"/>
      <c r="I49" s="542"/>
      <c r="J49" s="489"/>
      <c r="K49" s="489"/>
      <c r="L49" s="543"/>
      <c r="M49" s="543"/>
      <c r="N49" s="324" t="str">
        <f t="shared" si="0"/>
        <v/>
      </c>
      <c r="O49" s="325">
        <f t="shared" si="1"/>
        <v>0</v>
      </c>
      <c r="P49" s="473"/>
    </row>
    <row r="50" spans="1:16">
      <c r="A50" s="491"/>
      <c r="B50" s="492"/>
      <c r="C50" s="537"/>
      <c r="D50" s="538"/>
      <c r="E50" s="539"/>
      <c r="F50" s="540"/>
      <c r="G50" s="541"/>
      <c r="H50" s="524"/>
      <c r="I50" s="542"/>
      <c r="J50" s="489"/>
      <c r="K50" s="489"/>
      <c r="L50" s="543"/>
      <c r="M50" s="543"/>
      <c r="N50" s="324" t="str">
        <f t="shared" si="0"/>
        <v/>
      </c>
      <c r="O50" s="325">
        <f t="shared" si="1"/>
        <v>0</v>
      </c>
      <c r="P50" s="473"/>
    </row>
  </sheetData>
  <sheetProtection sheet="1" objects="1" scenarios="1"/>
  <mergeCells count="1">
    <mergeCell ref="B1:O1"/>
  </mergeCells>
  <phoneticPr fontId="47" type="noConversion"/>
  <pageMargins left="0.75" right="0.75" top="1" bottom="1" header="0.5" footer="0.5"/>
  <pageSetup scale="85" orientation="landscape" horizontalDpi="429496729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0"/>
  <sheetViews>
    <sheetView view="pageBreakPreview" zoomScaleNormal="100" workbookViewId="0">
      <selection activeCell="B2" sqref="B2"/>
    </sheetView>
  </sheetViews>
  <sheetFormatPr defaultColWidth="7.5546875" defaultRowHeight="15"/>
  <cols>
    <col min="1" max="1" width="9.44140625" customWidth="1"/>
    <col min="2" max="3" width="6.77734375" customWidth="1"/>
    <col min="4" max="4" width="6" customWidth="1"/>
    <col min="5" max="6" width="5.21875" customWidth="1"/>
    <col min="7" max="7" width="6" customWidth="1"/>
    <col min="8" max="11" width="5.21875" customWidth="1"/>
    <col min="12" max="13" width="6.77734375" customWidth="1"/>
    <col min="14" max="14" width="8.33203125" customWidth="1"/>
    <col min="15" max="15" width="6.77734375" customWidth="1"/>
    <col min="16" max="16" width="5.21875" customWidth="1"/>
    <col min="17" max="17" width="3.44140625" customWidth="1"/>
  </cols>
  <sheetData>
    <row r="1" spans="1:18" ht="19.899999999999999" customHeight="1">
      <c r="A1" s="228" t="s">
        <v>306</v>
      </c>
      <c r="B1" s="230" t="s">
        <v>344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49" t="s">
        <v>472</v>
      </c>
    </row>
    <row r="2" spans="1:18" ht="19.899999999999999" customHeight="1">
      <c r="A2" s="306" t="s">
        <v>346</v>
      </c>
      <c r="B2" s="471"/>
      <c r="C2" s="471"/>
      <c r="D2" s="481"/>
      <c r="E2" s="2"/>
      <c r="F2" s="2"/>
      <c r="G2" s="2"/>
      <c r="H2" s="2"/>
      <c r="I2" s="2"/>
      <c r="J2" s="233"/>
      <c r="K2" s="233"/>
      <c r="L2" s="233"/>
      <c r="M2" s="233"/>
      <c r="N2" s="233" t="s">
        <v>252</v>
      </c>
      <c r="O2" s="479"/>
      <c r="P2" s="479"/>
      <c r="Q2" s="254"/>
    </row>
    <row r="3" spans="1:18" ht="19.899999999999999" customHeight="1">
      <c r="A3" s="306" t="s">
        <v>347</v>
      </c>
      <c r="B3" s="471"/>
      <c r="C3" s="471"/>
      <c r="D3" s="471"/>
      <c r="E3" s="2"/>
      <c r="F3" s="2"/>
      <c r="G3" s="2"/>
      <c r="H3" s="2"/>
      <c r="I3" s="2"/>
      <c r="J3" s="2"/>
      <c r="K3" s="230"/>
      <c r="L3" s="230"/>
      <c r="M3" s="230" t="s">
        <v>348</v>
      </c>
      <c r="N3" s="230"/>
      <c r="O3" s="480"/>
      <c r="P3" s="480"/>
      <c r="Q3" s="2"/>
      <c r="R3" s="232"/>
    </row>
    <row r="4" spans="1:18" ht="19.899999999999999" customHeight="1">
      <c r="A4" s="306" t="s">
        <v>18</v>
      </c>
      <c r="B4" s="292">
        <f>'Proj Info'!B4</f>
        <v>0</v>
      </c>
      <c r="C4" s="292"/>
      <c r="D4" s="292"/>
      <c r="E4" s="2"/>
      <c r="F4" s="2"/>
      <c r="G4" s="2"/>
      <c r="H4" s="2"/>
      <c r="I4" s="2"/>
      <c r="J4" s="2"/>
      <c r="K4" s="230"/>
      <c r="L4" s="230"/>
      <c r="M4" s="230" t="s">
        <v>19</v>
      </c>
      <c r="N4" s="230"/>
      <c r="O4" s="307">
        <f>'Proj Info'!B11</f>
        <v>0</v>
      </c>
      <c r="P4" s="307"/>
      <c r="Q4" s="2"/>
      <c r="R4" s="232"/>
    </row>
    <row r="5" spans="1:18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30"/>
      <c r="K5" s="230"/>
      <c r="L5" s="230"/>
      <c r="M5" s="230"/>
      <c r="N5" s="230"/>
      <c r="O5" s="230"/>
      <c r="P5" s="230"/>
      <c r="Q5" s="2"/>
      <c r="R5" s="233"/>
    </row>
    <row r="6" spans="1:18" ht="13.9" customHeight="1" thickBot="1">
      <c r="A6" s="308" t="s">
        <v>349</v>
      </c>
      <c r="B6" s="309"/>
      <c r="C6" s="309"/>
      <c r="D6" s="309"/>
      <c r="E6" s="309"/>
      <c r="F6" s="309"/>
      <c r="G6" s="310"/>
      <c r="H6" s="308" t="s">
        <v>350</v>
      </c>
      <c r="I6" s="311"/>
      <c r="J6" s="309"/>
      <c r="K6" s="309"/>
      <c r="L6" s="309"/>
      <c r="M6" s="309"/>
      <c r="N6" s="309"/>
      <c r="O6" s="309"/>
      <c r="P6" s="309"/>
      <c r="Q6" s="310"/>
      <c r="R6" s="233"/>
    </row>
    <row r="7" spans="1:18" ht="13.9" customHeight="1">
      <c r="A7" s="312"/>
      <c r="B7" s="312"/>
      <c r="C7" s="312"/>
      <c r="D7" s="312"/>
      <c r="E7" s="312"/>
      <c r="F7" s="312"/>
      <c r="G7" s="312"/>
      <c r="H7" s="313"/>
      <c r="I7" s="257"/>
      <c r="J7" s="314"/>
      <c r="K7" s="315"/>
      <c r="L7" s="293" t="s">
        <v>351</v>
      </c>
      <c r="M7" s="293" t="s">
        <v>352</v>
      </c>
      <c r="N7" s="315"/>
      <c r="O7" s="297" t="s">
        <v>353</v>
      </c>
      <c r="P7" s="257"/>
      <c r="Q7" s="316"/>
    </row>
    <row r="8" spans="1:18" ht="13.9" customHeight="1">
      <c r="A8" s="317" t="s">
        <v>298</v>
      </c>
      <c r="B8" s="317" t="s">
        <v>354</v>
      </c>
      <c r="C8" s="317" t="s">
        <v>355</v>
      </c>
      <c r="D8" s="317"/>
      <c r="E8" s="317" t="s">
        <v>356</v>
      </c>
      <c r="F8" s="317" t="s">
        <v>357</v>
      </c>
      <c r="G8" s="317" t="s">
        <v>358</v>
      </c>
      <c r="H8" s="318" t="s">
        <v>359</v>
      </c>
      <c r="I8" s="319" t="s">
        <v>360</v>
      </c>
      <c r="J8" s="317" t="s">
        <v>361</v>
      </c>
      <c r="K8" s="317" t="s">
        <v>362</v>
      </c>
      <c r="L8" s="317" t="s">
        <v>363</v>
      </c>
      <c r="M8" s="317" t="s">
        <v>363</v>
      </c>
      <c r="N8" s="317" t="s">
        <v>364</v>
      </c>
      <c r="O8" s="278" t="s">
        <v>365</v>
      </c>
      <c r="P8" s="319" t="s">
        <v>366</v>
      </c>
      <c r="Q8" s="320"/>
    </row>
    <row r="9" spans="1:18" ht="13.9" customHeight="1">
      <c r="A9" s="321" t="s">
        <v>367</v>
      </c>
      <c r="B9" s="321" t="s">
        <v>368</v>
      </c>
      <c r="C9" s="321" t="s">
        <v>369</v>
      </c>
      <c r="D9" s="321" t="s">
        <v>370</v>
      </c>
      <c r="E9" s="321" t="s">
        <v>32</v>
      </c>
      <c r="F9" s="321" t="s">
        <v>371</v>
      </c>
      <c r="G9" s="321" t="s">
        <v>372</v>
      </c>
      <c r="H9" s="322" t="s">
        <v>373</v>
      </c>
      <c r="I9" s="322" t="s">
        <v>374</v>
      </c>
      <c r="J9" s="323" t="s">
        <v>374</v>
      </c>
      <c r="K9" s="321" t="s">
        <v>374</v>
      </c>
      <c r="L9" s="321" t="s">
        <v>375</v>
      </c>
      <c r="M9" s="321" t="s">
        <v>375</v>
      </c>
      <c r="N9" s="321" t="s">
        <v>376</v>
      </c>
      <c r="O9" s="241" t="s">
        <v>377</v>
      </c>
      <c r="P9" s="322" t="s">
        <v>378</v>
      </c>
      <c r="Q9" s="321" t="s">
        <v>314</v>
      </c>
    </row>
    <row r="10" spans="1:18" ht="19.899999999999999" customHeight="1">
      <c r="A10" s="482"/>
      <c r="B10" s="483"/>
      <c r="C10" s="483"/>
      <c r="D10" s="484"/>
      <c r="E10" s="485"/>
      <c r="F10" s="486"/>
      <c r="G10" s="487"/>
      <c r="H10" s="473"/>
      <c r="I10" s="473"/>
      <c r="J10" s="488"/>
      <c r="K10" s="489"/>
      <c r="L10" s="490"/>
      <c r="M10" s="490"/>
      <c r="N10" s="324">
        <f>ROUND(IF(M10=0,0,SUM((3*457)/(2*K10*J10*J10))),6)</f>
        <v>0</v>
      </c>
      <c r="O10" s="325">
        <f t="shared" ref="O10:O28" si="0">ROUND(IF(N10="",0,(M10*N10)),0)</f>
        <v>0</v>
      </c>
      <c r="P10" s="497"/>
      <c r="Q10" s="473"/>
    </row>
    <row r="11" spans="1:18" ht="19.899999999999999" customHeight="1">
      <c r="A11" s="491"/>
      <c r="B11" s="492"/>
      <c r="C11" s="492"/>
      <c r="D11" s="493"/>
      <c r="E11" s="494"/>
      <c r="F11" s="495"/>
      <c r="G11" s="496"/>
      <c r="H11" s="473"/>
      <c r="I11" s="473"/>
      <c r="J11" s="488"/>
      <c r="K11" s="489"/>
      <c r="L11" s="490"/>
      <c r="M11" s="490"/>
      <c r="N11" s="324">
        <f t="shared" ref="N11:N28" si="1">ROUND(IF(M11=0,0,SUM((3*457)/(2*K11*J11*J11))),6)</f>
        <v>0</v>
      </c>
      <c r="O11" s="325">
        <f t="shared" si="0"/>
        <v>0</v>
      </c>
      <c r="P11" s="497"/>
      <c r="Q11" s="473"/>
    </row>
    <row r="12" spans="1:18" ht="19.899999999999999" customHeight="1">
      <c r="A12" s="491"/>
      <c r="B12" s="492"/>
      <c r="C12" s="492"/>
      <c r="D12" s="493"/>
      <c r="E12" s="494"/>
      <c r="F12" s="495"/>
      <c r="G12" s="496"/>
      <c r="H12" s="473"/>
      <c r="I12" s="473"/>
      <c r="J12" s="488"/>
      <c r="K12" s="489"/>
      <c r="L12" s="490"/>
      <c r="M12" s="490"/>
      <c r="N12" s="324">
        <f t="shared" si="1"/>
        <v>0</v>
      </c>
      <c r="O12" s="325">
        <f t="shared" si="0"/>
        <v>0</v>
      </c>
      <c r="P12" s="497"/>
      <c r="Q12" s="473"/>
    </row>
    <row r="13" spans="1:18" ht="19.899999999999999" customHeight="1">
      <c r="A13" s="491"/>
      <c r="B13" s="492"/>
      <c r="C13" s="492"/>
      <c r="D13" s="493"/>
      <c r="E13" s="494"/>
      <c r="F13" s="495"/>
      <c r="G13" s="496"/>
      <c r="H13" s="473"/>
      <c r="I13" s="473"/>
      <c r="J13" s="488"/>
      <c r="K13" s="489"/>
      <c r="L13" s="490"/>
      <c r="M13" s="490"/>
      <c r="N13" s="324">
        <f t="shared" si="1"/>
        <v>0</v>
      </c>
      <c r="O13" s="325">
        <f t="shared" si="0"/>
        <v>0</v>
      </c>
      <c r="P13" s="497"/>
      <c r="Q13" s="473"/>
    </row>
    <row r="14" spans="1:18" ht="19.899999999999999" customHeight="1">
      <c r="A14" s="491"/>
      <c r="B14" s="492"/>
      <c r="C14" s="492"/>
      <c r="D14" s="493"/>
      <c r="E14" s="494"/>
      <c r="F14" s="495"/>
      <c r="G14" s="496"/>
      <c r="H14" s="473"/>
      <c r="I14" s="473"/>
      <c r="J14" s="488"/>
      <c r="K14" s="489"/>
      <c r="L14" s="490"/>
      <c r="M14" s="490"/>
      <c r="N14" s="324">
        <f t="shared" si="1"/>
        <v>0</v>
      </c>
      <c r="O14" s="325">
        <f t="shared" si="0"/>
        <v>0</v>
      </c>
      <c r="P14" s="497"/>
      <c r="Q14" s="473"/>
    </row>
    <row r="15" spans="1:18" ht="19.899999999999999" customHeight="1">
      <c r="A15" s="491"/>
      <c r="B15" s="492"/>
      <c r="C15" s="492"/>
      <c r="D15" s="493"/>
      <c r="E15" s="494"/>
      <c r="F15" s="495"/>
      <c r="G15" s="496"/>
      <c r="H15" s="473"/>
      <c r="I15" s="473"/>
      <c r="J15" s="488"/>
      <c r="K15" s="489"/>
      <c r="L15" s="490"/>
      <c r="M15" s="490"/>
      <c r="N15" s="324">
        <f t="shared" si="1"/>
        <v>0</v>
      </c>
      <c r="O15" s="325">
        <f t="shared" si="0"/>
        <v>0</v>
      </c>
      <c r="P15" s="497"/>
      <c r="Q15" s="473"/>
    </row>
    <row r="16" spans="1:18" ht="19.899999999999999" customHeight="1">
      <c r="A16" s="491"/>
      <c r="B16" s="492"/>
      <c r="C16" s="492"/>
      <c r="D16" s="493"/>
      <c r="E16" s="494"/>
      <c r="F16" s="495"/>
      <c r="G16" s="496"/>
      <c r="H16" s="473"/>
      <c r="I16" s="473"/>
      <c r="J16" s="488"/>
      <c r="K16" s="489"/>
      <c r="L16" s="490"/>
      <c r="M16" s="490"/>
      <c r="N16" s="324">
        <f t="shared" si="1"/>
        <v>0</v>
      </c>
      <c r="O16" s="325">
        <f t="shared" si="0"/>
        <v>0</v>
      </c>
      <c r="P16" s="497"/>
      <c r="Q16" s="473"/>
    </row>
    <row r="17" spans="1:17" ht="19.899999999999999" customHeight="1">
      <c r="A17" s="491"/>
      <c r="B17" s="492"/>
      <c r="C17" s="492"/>
      <c r="D17" s="493"/>
      <c r="E17" s="494"/>
      <c r="F17" s="495"/>
      <c r="G17" s="496"/>
      <c r="H17" s="473"/>
      <c r="I17" s="473"/>
      <c r="J17" s="488"/>
      <c r="K17" s="489"/>
      <c r="L17" s="490"/>
      <c r="M17" s="490"/>
      <c r="N17" s="324">
        <f t="shared" si="1"/>
        <v>0</v>
      </c>
      <c r="O17" s="325">
        <f t="shared" si="0"/>
        <v>0</v>
      </c>
      <c r="P17" s="497"/>
      <c r="Q17" s="473"/>
    </row>
    <row r="18" spans="1:17" ht="19.899999999999999" customHeight="1">
      <c r="A18" s="491"/>
      <c r="B18" s="492"/>
      <c r="C18" s="492"/>
      <c r="D18" s="493"/>
      <c r="E18" s="494"/>
      <c r="F18" s="495"/>
      <c r="G18" s="496"/>
      <c r="H18" s="473"/>
      <c r="I18" s="473"/>
      <c r="J18" s="488"/>
      <c r="K18" s="489"/>
      <c r="L18" s="490"/>
      <c r="M18" s="490"/>
      <c r="N18" s="324">
        <f t="shared" si="1"/>
        <v>0</v>
      </c>
      <c r="O18" s="325">
        <f t="shared" si="0"/>
        <v>0</v>
      </c>
      <c r="P18" s="497"/>
      <c r="Q18" s="473"/>
    </row>
    <row r="19" spans="1:17" ht="19.899999999999999" customHeight="1">
      <c r="A19" s="491"/>
      <c r="B19" s="492"/>
      <c r="C19" s="492"/>
      <c r="D19" s="493"/>
      <c r="E19" s="494"/>
      <c r="F19" s="495"/>
      <c r="G19" s="496"/>
      <c r="H19" s="473"/>
      <c r="I19" s="473"/>
      <c r="J19" s="488"/>
      <c r="K19" s="489"/>
      <c r="L19" s="490"/>
      <c r="M19" s="490"/>
      <c r="N19" s="324">
        <f t="shared" si="1"/>
        <v>0</v>
      </c>
      <c r="O19" s="325">
        <f t="shared" si="0"/>
        <v>0</v>
      </c>
      <c r="P19" s="497"/>
      <c r="Q19" s="473"/>
    </row>
    <row r="20" spans="1:17" ht="19.899999999999999" customHeight="1">
      <c r="A20" s="491"/>
      <c r="B20" s="492"/>
      <c r="C20" s="492"/>
      <c r="D20" s="493"/>
      <c r="E20" s="494"/>
      <c r="F20" s="495"/>
      <c r="G20" s="496"/>
      <c r="H20" s="473"/>
      <c r="I20" s="473"/>
      <c r="J20" s="488"/>
      <c r="K20" s="489"/>
      <c r="L20" s="490"/>
      <c r="M20" s="490"/>
      <c r="N20" s="324">
        <f t="shared" si="1"/>
        <v>0</v>
      </c>
      <c r="O20" s="325">
        <f t="shared" si="0"/>
        <v>0</v>
      </c>
      <c r="P20" s="497"/>
      <c r="Q20" s="473"/>
    </row>
    <row r="21" spans="1:17" ht="19.899999999999999" customHeight="1">
      <c r="A21" s="491"/>
      <c r="B21" s="492"/>
      <c r="C21" s="492"/>
      <c r="D21" s="493"/>
      <c r="E21" s="494"/>
      <c r="F21" s="495"/>
      <c r="G21" s="496"/>
      <c r="H21" s="473"/>
      <c r="I21" s="473"/>
      <c r="J21" s="488"/>
      <c r="K21" s="489"/>
      <c r="L21" s="490"/>
      <c r="M21" s="490"/>
      <c r="N21" s="324">
        <f t="shared" si="1"/>
        <v>0</v>
      </c>
      <c r="O21" s="325">
        <f t="shared" si="0"/>
        <v>0</v>
      </c>
      <c r="P21" s="497"/>
      <c r="Q21" s="473"/>
    </row>
    <row r="22" spans="1:17" ht="19.899999999999999" customHeight="1">
      <c r="A22" s="491"/>
      <c r="B22" s="492"/>
      <c r="C22" s="492"/>
      <c r="D22" s="493"/>
      <c r="E22" s="494"/>
      <c r="F22" s="495"/>
      <c r="G22" s="496"/>
      <c r="H22" s="473"/>
      <c r="I22" s="473"/>
      <c r="J22" s="488"/>
      <c r="K22" s="489"/>
      <c r="L22" s="490"/>
      <c r="M22" s="490"/>
      <c r="N22" s="324">
        <f t="shared" si="1"/>
        <v>0</v>
      </c>
      <c r="O22" s="325">
        <f t="shared" si="0"/>
        <v>0</v>
      </c>
      <c r="P22" s="497"/>
      <c r="Q22" s="473"/>
    </row>
    <row r="23" spans="1:17" ht="19.899999999999999" customHeight="1">
      <c r="A23" s="491"/>
      <c r="B23" s="492"/>
      <c r="C23" s="492"/>
      <c r="D23" s="493"/>
      <c r="E23" s="494"/>
      <c r="F23" s="495"/>
      <c r="G23" s="496"/>
      <c r="H23" s="473"/>
      <c r="I23" s="473"/>
      <c r="J23" s="488"/>
      <c r="K23" s="489"/>
      <c r="L23" s="490"/>
      <c r="M23" s="490"/>
      <c r="N23" s="324">
        <f t="shared" si="1"/>
        <v>0</v>
      </c>
      <c r="O23" s="325">
        <f t="shared" si="0"/>
        <v>0</v>
      </c>
      <c r="P23" s="497"/>
      <c r="Q23" s="473"/>
    </row>
    <row r="24" spans="1:17" ht="19.899999999999999" customHeight="1">
      <c r="A24" s="491"/>
      <c r="B24" s="492"/>
      <c r="C24" s="492"/>
      <c r="D24" s="493"/>
      <c r="E24" s="494"/>
      <c r="F24" s="495"/>
      <c r="G24" s="496"/>
      <c r="H24" s="473"/>
      <c r="I24" s="473"/>
      <c r="J24" s="488"/>
      <c r="K24" s="489"/>
      <c r="L24" s="490"/>
      <c r="M24" s="490"/>
      <c r="N24" s="324">
        <f t="shared" si="1"/>
        <v>0</v>
      </c>
      <c r="O24" s="325">
        <f t="shared" si="0"/>
        <v>0</v>
      </c>
      <c r="P24" s="497"/>
      <c r="Q24" s="473"/>
    </row>
    <row r="25" spans="1:17" ht="19.899999999999999" customHeight="1">
      <c r="A25" s="491"/>
      <c r="B25" s="492"/>
      <c r="C25" s="492"/>
      <c r="D25" s="493"/>
      <c r="E25" s="494"/>
      <c r="F25" s="495"/>
      <c r="G25" s="496"/>
      <c r="H25" s="473"/>
      <c r="I25" s="473"/>
      <c r="J25" s="488"/>
      <c r="K25" s="489"/>
      <c r="L25" s="490"/>
      <c r="M25" s="490"/>
      <c r="N25" s="324">
        <f t="shared" si="1"/>
        <v>0</v>
      </c>
      <c r="O25" s="325">
        <f t="shared" si="0"/>
        <v>0</v>
      </c>
      <c r="P25" s="497"/>
      <c r="Q25" s="473"/>
    </row>
    <row r="26" spans="1:17" ht="19.899999999999999" customHeight="1">
      <c r="A26" s="491"/>
      <c r="B26" s="492"/>
      <c r="C26" s="492"/>
      <c r="D26" s="493"/>
      <c r="E26" s="494"/>
      <c r="F26" s="495"/>
      <c r="G26" s="496"/>
      <c r="H26" s="473"/>
      <c r="I26" s="473"/>
      <c r="J26" s="488"/>
      <c r="K26" s="489"/>
      <c r="L26" s="490"/>
      <c r="M26" s="490"/>
      <c r="N26" s="324">
        <f t="shared" si="1"/>
        <v>0</v>
      </c>
      <c r="O26" s="325">
        <f t="shared" si="0"/>
        <v>0</v>
      </c>
      <c r="P26" s="497"/>
      <c r="Q26" s="473"/>
    </row>
    <row r="27" spans="1:17" ht="19.899999999999999" customHeight="1">
      <c r="A27" s="491"/>
      <c r="B27" s="492"/>
      <c r="C27" s="492"/>
      <c r="D27" s="493"/>
      <c r="E27" s="494"/>
      <c r="F27" s="495"/>
      <c r="G27" s="496"/>
      <c r="H27" s="473"/>
      <c r="I27" s="473"/>
      <c r="J27" s="488"/>
      <c r="K27" s="489"/>
      <c r="L27" s="490"/>
      <c r="M27" s="490"/>
      <c r="N27" s="324">
        <f t="shared" si="1"/>
        <v>0</v>
      </c>
      <c r="O27" s="325">
        <f t="shared" si="0"/>
        <v>0</v>
      </c>
      <c r="P27" s="497"/>
      <c r="Q27" s="473"/>
    </row>
    <row r="28" spans="1:17" ht="19.899999999999999" customHeight="1">
      <c r="A28" s="491"/>
      <c r="B28" s="492"/>
      <c r="C28" s="492"/>
      <c r="D28" s="493"/>
      <c r="E28" s="494"/>
      <c r="F28" s="495"/>
      <c r="G28" s="496"/>
      <c r="H28" s="473"/>
      <c r="I28" s="473"/>
      <c r="J28" s="488"/>
      <c r="K28" s="489"/>
      <c r="L28" s="490"/>
      <c r="M28" s="490"/>
      <c r="N28" s="324">
        <f t="shared" si="1"/>
        <v>0</v>
      </c>
      <c r="O28" s="325">
        <f t="shared" si="0"/>
        <v>0</v>
      </c>
      <c r="P28" s="497"/>
      <c r="Q28" s="473"/>
    </row>
    <row r="29" spans="1:17" ht="19.899999999999999" customHeight="1">
      <c r="A29" s="326"/>
      <c r="E29" s="2"/>
      <c r="F29" s="2"/>
      <c r="G29" s="2"/>
      <c r="H29" s="2"/>
      <c r="I29" s="2"/>
      <c r="J29" s="2"/>
      <c r="K29" s="2"/>
      <c r="L29" s="254" t="s">
        <v>379</v>
      </c>
      <c r="M29" s="254"/>
      <c r="N29" s="471"/>
      <c r="O29" s="471"/>
      <c r="P29" s="471"/>
      <c r="Q29" s="481"/>
    </row>
    <row r="30" spans="1:17">
      <c r="A30" s="2"/>
      <c r="B30" s="2"/>
      <c r="C30" s="2"/>
      <c r="D30" s="2"/>
      <c r="E30" s="2"/>
      <c r="F30" s="2"/>
      <c r="G30" s="2"/>
      <c r="H30" s="232"/>
      <c r="I30" s="232"/>
      <c r="J30" s="232"/>
      <c r="K30" s="232"/>
      <c r="L30" s="232"/>
      <c r="M30" s="232"/>
      <c r="N30" s="232"/>
      <c r="O30" s="232"/>
      <c r="P30" s="232"/>
      <c r="Q30" s="232"/>
    </row>
  </sheetData>
  <sheetProtection sheet="1" objects="1" scenarios="1"/>
  <phoneticPr fontId="47" type="noConversion"/>
  <pageMargins left="0.75" right="0.75" top="1" bottom="1" header="0.5" footer="0.5"/>
  <pageSetup scale="85" orientation="landscape" horizont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9"/>
  <sheetViews>
    <sheetView view="pageBreakPreview" zoomScaleNormal="100" workbookViewId="0">
      <selection activeCell="D14" sqref="D14"/>
    </sheetView>
  </sheetViews>
  <sheetFormatPr defaultRowHeight="15"/>
  <cols>
    <col min="1" max="1" width="11.109375" customWidth="1"/>
    <col min="2" max="8" width="8.33203125" customWidth="1"/>
  </cols>
  <sheetData>
    <row r="1" spans="1:8">
      <c r="A1" s="327" t="s">
        <v>306</v>
      </c>
      <c r="H1" s="328" t="s">
        <v>380</v>
      </c>
    </row>
    <row r="2" spans="1:8">
      <c r="A2" s="255"/>
      <c r="B2" s="255"/>
      <c r="C2" s="255"/>
      <c r="D2" s="255"/>
      <c r="E2" s="255"/>
      <c r="F2" s="255"/>
      <c r="G2" s="306" t="s">
        <v>252</v>
      </c>
      <c r="H2" s="329"/>
    </row>
    <row r="3" spans="1:8">
      <c r="A3" s="306" t="s">
        <v>18</v>
      </c>
      <c r="B3" s="255"/>
      <c r="D3" s="292"/>
      <c r="F3" s="255"/>
      <c r="G3" s="306" t="s">
        <v>19</v>
      </c>
      <c r="H3" s="329"/>
    </row>
    <row r="4" spans="1:8" ht="15.75" thickBot="1">
      <c r="A4" s="255"/>
      <c r="B4" s="255"/>
      <c r="C4" s="255"/>
      <c r="D4" s="255"/>
      <c r="E4" s="255"/>
      <c r="F4" s="255"/>
      <c r="G4" s="255"/>
      <c r="H4" s="255"/>
    </row>
    <row r="5" spans="1:8">
      <c r="A5" s="330" t="s">
        <v>381</v>
      </c>
      <c r="B5" s="331"/>
      <c r="C5" s="332"/>
      <c r="D5" s="332"/>
      <c r="E5" s="330" t="s">
        <v>382</v>
      </c>
      <c r="F5" s="333"/>
      <c r="G5" s="330" t="s">
        <v>383</v>
      </c>
      <c r="H5" s="334"/>
    </row>
    <row r="6" spans="1:8">
      <c r="A6" s="306" t="s">
        <v>384</v>
      </c>
      <c r="B6" s="335"/>
      <c r="E6" s="306" t="s">
        <v>385</v>
      </c>
      <c r="F6" s="336"/>
      <c r="G6" s="306" t="s">
        <v>386</v>
      </c>
      <c r="H6" s="329"/>
    </row>
    <row r="7" spans="1:8">
      <c r="A7" s="337" t="s">
        <v>387</v>
      </c>
      <c r="B7" s="243"/>
      <c r="C7" s="243"/>
      <c r="D7" s="336"/>
      <c r="E7" s="243"/>
    </row>
    <row r="8" spans="1:8" ht="15.75" thickBot="1">
      <c r="A8" s="255"/>
      <c r="B8" s="255"/>
      <c r="C8" s="255"/>
      <c r="D8" s="255"/>
      <c r="E8" s="255"/>
      <c r="F8" s="255"/>
      <c r="G8" s="255"/>
      <c r="H8" s="255"/>
    </row>
    <row r="9" spans="1:8" ht="15.75" thickTop="1">
      <c r="A9" s="338"/>
      <c r="B9" s="338"/>
      <c r="C9" s="338"/>
      <c r="D9" s="338"/>
      <c r="E9" s="338"/>
      <c r="F9" s="338"/>
      <c r="G9" s="338"/>
      <c r="H9" s="338"/>
    </row>
    <row r="10" spans="1:8">
      <c r="A10" s="243"/>
      <c r="B10" s="243"/>
      <c r="C10" s="243"/>
      <c r="D10" s="243"/>
      <c r="E10" s="243"/>
      <c r="F10" s="243"/>
      <c r="G10" s="243"/>
      <c r="H10" s="243"/>
    </row>
    <row r="11" spans="1:8">
      <c r="A11" s="243"/>
      <c r="B11" s="243"/>
      <c r="C11" s="243"/>
      <c r="D11" s="243"/>
      <c r="E11" s="243"/>
      <c r="F11" s="243"/>
      <c r="G11" s="243"/>
      <c r="H11" s="243"/>
    </row>
    <row r="12" spans="1:8">
      <c r="A12" s="243"/>
      <c r="B12" s="243"/>
      <c r="C12" s="243"/>
      <c r="D12" s="243"/>
      <c r="E12" s="243"/>
      <c r="F12" s="243"/>
      <c r="G12" s="243"/>
      <c r="H12" s="243"/>
    </row>
    <row r="13" spans="1:8">
      <c r="A13" s="243"/>
      <c r="B13" s="243"/>
      <c r="C13" s="243"/>
      <c r="D13" s="243"/>
      <c r="E13" s="243"/>
      <c r="F13" s="243"/>
      <c r="G13" s="243"/>
      <c r="H13" s="243"/>
    </row>
    <row r="14" spans="1:8">
      <c r="A14" s="243"/>
      <c r="B14" s="243"/>
      <c r="C14" s="243"/>
      <c r="D14" s="243"/>
      <c r="E14" s="243"/>
      <c r="F14" s="243"/>
      <c r="G14" s="243"/>
      <c r="H14" s="243"/>
    </row>
    <row r="15" spans="1:8">
      <c r="A15" s="243"/>
      <c r="B15" s="243"/>
      <c r="C15" s="243"/>
      <c r="D15" s="243"/>
      <c r="E15" s="243"/>
      <c r="F15" s="243"/>
      <c r="G15" s="243"/>
      <c r="H15" s="243"/>
    </row>
    <row r="16" spans="1:8">
      <c r="A16" s="243"/>
      <c r="B16" s="243"/>
      <c r="C16" s="243"/>
      <c r="D16" s="243"/>
      <c r="E16" s="243"/>
      <c r="F16" s="243"/>
      <c r="G16" s="243"/>
      <c r="H16" s="243"/>
    </row>
    <row r="17" spans="1:8">
      <c r="A17" s="243"/>
      <c r="B17" s="243"/>
      <c r="C17" s="243"/>
      <c r="D17" s="243"/>
      <c r="E17" s="243"/>
      <c r="F17" s="243"/>
      <c r="G17" s="243"/>
      <c r="H17" s="243"/>
    </row>
    <row r="18" spans="1:8">
      <c r="A18" s="243"/>
      <c r="B18" s="243"/>
      <c r="C18" s="243"/>
      <c r="D18" s="243"/>
      <c r="E18" s="243"/>
      <c r="F18" s="243"/>
      <c r="G18" s="243"/>
      <c r="H18" s="243"/>
    </row>
    <row r="19" spans="1:8">
      <c r="A19" s="243"/>
      <c r="B19" s="243"/>
      <c r="C19" s="243"/>
      <c r="D19" s="243"/>
      <c r="E19" s="243"/>
      <c r="F19" s="243"/>
      <c r="G19" s="243"/>
      <c r="H19" s="243"/>
    </row>
    <row r="20" spans="1:8">
      <c r="A20" s="243"/>
      <c r="B20" s="243"/>
      <c r="C20" s="243"/>
      <c r="D20" s="243"/>
      <c r="E20" s="243"/>
      <c r="F20" s="243"/>
      <c r="G20" s="243"/>
      <c r="H20" s="243"/>
    </row>
    <row r="21" spans="1:8">
      <c r="A21" s="243"/>
      <c r="B21" s="243"/>
      <c r="C21" s="243"/>
      <c r="D21" s="243"/>
      <c r="E21" s="243"/>
      <c r="F21" s="243"/>
      <c r="G21" s="243"/>
      <c r="H21" s="243"/>
    </row>
    <row r="22" spans="1:8">
      <c r="A22" s="243"/>
      <c r="B22" s="243"/>
      <c r="C22" s="243"/>
      <c r="D22" s="243"/>
      <c r="E22" s="243"/>
      <c r="F22" s="243"/>
      <c r="G22" s="243"/>
      <c r="H22" s="243"/>
    </row>
    <row r="23" spans="1:8">
      <c r="A23" s="243"/>
      <c r="B23" s="243"/>
      <c r="C23" s="243"/>
      <c r="D23" s="243"/>
      <c r="E23" s="243"/>
      <c r="F23" s="243"/>
      <c r="G23" s="243"/>
      <c r="H23" s="243"/>
    </row>
    <row r="24" spans="1:8">
      <c r="A24" s="243"/>
      <c r="B24" s="243"/>
      <c r="C24" s="243"/>
      <c r="D24" s="243"/>
      <c r="E24" s="243"/>
      <c r="F24" s="243"/>
      <c r="G24" s="243"/>
      <c r="H24" s="243"/>
    </row>
    <row r="25" spans="1:8">
      <c r="A25" s="243"/>
      <c r="B25" s="243"/>
      <c r="C25" s="243"/>
      <c r="D25" s="243"/>
      <c r="E25" s="243"/>
      <c r="F25" s="243"/>
      <c r="G25" s="243"/>
      <c r="H25" s="243"/>
    </row>
    <row r="26" spans="1:8">
      <c r="A26" s="243"/>
      <c r="B26" s="243"/>
      <c r="C26" s="243"/>
      <c r="D26" s="243"/>
      <c r="E26" s="243"/>
      <c r="F26" s="243"/>
      <c r="G26" s="243"/>
      <c r="H26" s="243"/>
    </row>
    <row r="27" spans="1:8">
      <c r="A27" s="243"/>
      <c r="B27" s="243"/>
      <c r="C27" s="243"/>
      <c r="D27" s="243"/>
      <c r="E27" s="243"/>
      <c r="F27" s="243"/>
      <c r="G27" s="243"/>
      <c r="H27" s="243"/>
    </row>
    <row r="28" spans="1:8">
      <c r="A28" s="243"/>
      <c r="B28" s="243"/>
      <c r="C28" s="243"/>
      <c r="D28" s="243"/>
      <c r="E28" s="243"/>
      <c r="F28" s="243"/>
      <c r="G28" s="243"/>
      <c r="H28" s="243"/>
    </row>
    <row r="29" spans="1:8">
      <c r="A29" s="243"/>
      <c r="B29" s="243"/>
      <c r="C29" s="243"/>
      <c r="D29" s="243"/>
      <c r="E29" s="243"/>
      <c r="F29" s="243"/>
      <c r="G29" s="243"/>
      <c r="H29" s="243"/>
    </row>
    <row r="30" spans="1:8">
      <c r="A30" s="243"/>
      <c r="B30" s="243"/>
      <c r="C30" s="243"/>
      <c r="D30" s="243"/>
      <c r="E30" s="243"/>
      <c r="F30" s="243"/>
      <c r="G30" s="243"/>
      <c r="H30" s="243"/>
    </row>
    <row r="31" spans="1:8">
      <c r="A31" s="243"/>
      <c r="B31" s="243"/>
      <c r="C31" s="243"/>
      <c r="D31" s="243"/>
      <c r="E31" s="243"/>
      <c r="F31" s="243"/>
      <c r="G31" s="243"/>
      <c r="H31" s="243"/>
    </row>
    <row r="32" spans="1:8">
      <c r="A32" s="243"/>
      <c r="B32" s="243"/>
      <c r="C32" s="243"/>
      <c r="D32" s="243"/>
      <c r="E32" s="243"/>
      <c r="F32" s="243"/>
      <c r="G32" s="243"/>
      <c r="H32" s="243"/>
    </row>
    <row r="33" spans="1:8">
      <c r="A33" s="243"/>
      <c r="B33" s="243"/>
      <c r="C33" s="243"/>
      <c r="D33" s="243"/>
      <c r="E33" s="243"/>
      <c r="F33" s="243"/>
      <c r="G33" s="243"/>
      <c r="H33" s="243"/>
    </row>
    <row r="34" spans="1:8">
      <c r="A34" s="243"/>
      <c r="B34" s="243"/>
      <c r="C34" s="243"/>
      <c r="D34" s="243"/>
      <c r="E34" s="243"/>
      <c r="F34" s="243"/>
      <c r="G34" s="243"/>
      <c r="H34" s="243"/>
    </row>
    <row r="35" spans="1:8">
      <c r="A35" s="243"/>
      <c r="B35" s="243"/>
      <c r="C35" s="243"/>
      <c r="D35" s="243"/>
      <c r="E35" s="243"/>
      <c r="F35" s="243"/>
      <c r="G35" s="243"/>
      <c r="H35" s="243"/>
    </row>
    <row r="36" spans="1:8">
      <c r="A36" s="243"/>
      <c r="B36" s="243"/>
      <c r="C36" s="243"/>
      <c r="D36" s="243"/>
      <c r="E36" s="243"/>
      <c r="F36" s="243"/>
      <c r="G36" s="243"/>
      <c r="H36" s="243"/>
    </row>
    <row r="37" spans="1:8">
      <c r="A37" s="243"/>
      <c r="B37" s="243"/>
      <c r="C37" s="243"/>
      <c r="D37" s="243"/>
      <c r="E37" s="243"/>
      <c r="F37" s="243"/>
      <c r="G37" s="243"/>
      <c r="H37" s="243"/>
    </row>
    <row r="38" spans="1:8">
      <c r="A38" s="255"/>
      <c r="B38" s="255"/>
      <c r="C38" s="255"/>
      <c r="D38" s="255"/>
      <c r="E38" s="255"/>
      <c r="F38" s="306" t="s">
        <v>237</v>
      </c>
      <c r="G38" s="329"/>
      <c r="H38" s="243"/>
    </row>
    <row r="39" spans="1:8">
      <c r="A39" s="255"/>
      <c r="B39" s="255"/>
      <c r="C39" s="255"/>
      <c r="D39" s="255"/>
      <c r="E39" s="255"/>
      <c r="F39" s="255"/>
      <c r="G39" s="255"/>
      <c r="H39" s="255"/>
    </row>
  </sheetData>
  <phoneticPr fontId="47" type="noConversion"/>
  <pageMargins left="0.75" right="0.75" top="1" bottom="1" header="0.5" footer="0.5"/>
  <pageSetup orientation="portrait" horizontalDpi="429496729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9"/>
  <sheetViews>
    <sheetView view="pageBreakPreview" zoomScaleNormal="100" workbookViewId="0">
      <selection activeCell="H2" sqref="H2"/>
    </sheetView>
  </sheetViews>
  <sheetFormatPr defaultRowHeight="15"/>
  <cols>
    <col min="1" max="1" width="11.109375" customWidth="1"/>
    <col min="2" max="8" width="8.33203125" customWidth="1"/>
  </cols>
  <sheetData>
    <row r="1" spans="1:8">
      <c r="A1" s="327" t="s">
        <v>306</v>
      </c>
      <c r="H1" s="328" t="s">
        <v>388</v>
      </c>
    </row>
    <row r="2" spans="1:8">
      <c r="A2" s="255"/>
      <c r="B2" s="255"/>
      <c r="C2" s="255"/>
      <c r="D2" s="255"/>
      <c r="E2" s="255"/>
      <c r="F2" s="255"/>
      <c r="G2" s="306" t="s">
        <v>252</v>
      </c>
      <c r="H2" s="329"/>
    </row>
    <row r="3" spans="1:8">
      <c r="A3" s="306" t="s">
        <v>18</v>
      </c>
      <c r="B3" s="255"/>
      <c r="D3" s="292"/>
      <c r="F3" s="255"/>
      <c r="G3" s="306" t="s">
        <v>19</v>
      </c>
      <c r="H3" s="329"/>
    </row>
    <row r="4" spans="1:8" ht="15.75" thickBot="1">
      <c r="A4" s="255"/>
      <c r="B4" s="255"/>
      <c r="C4" s="255"/>
      <c r="D4" s="255"/>
      <c r="E4" s="255"/>
      <c r="F4" s="255"/>
      <c r="G4" s="255"/>
      <c r="H4" s="255"/>
    </row>
    <row r="5" spans="1:8">
      <c r="A5" s="330" t="s">
        <v>381</v>
      </c>
      <c r="B5" s="331"/>
      <c r="C5" s="332"/>
      <c r="D5" s="332"/>
      <c r="E5" s="330" t="s">
        <v>382</v>
      </c>
      <c r="F5" s="333"/>
      <c r="G5" s="330" t="s">
        <v>383</v>
      </c>
      <c r="H5" s="334"/>
    </row>
    <row r="6" spans="1:8">
      <c r="A6" s="306" t="s">
        <v>384</v>
      </c>
      <c r="B6" s="335"/>
      <c r="E6" s="306" t="s">
        <v>385</v>
      </c>
      <c r="F6" s="336"/>
      <c r="G6" s="306" t="s">
        <v>386</v>
      </c>
      <c r="H6" s="329"/>
    </row>
    <row r="7" spans="1:8">
      <c r="A7" s="337" t="s">
        <v>387</v>
      </c>
      <c r="B7" s="243"/>
      <c r="C7" s="243"/>
      <c r="D7" s="336"/>
      <c r="E7" s="243"/>
    </row>
    <row r="8" spans="1:8" ht="15.75" thickBot="1">
      <c r="A8" s="255"/>
      <c r="B8" s="255"/>
      <c r="C8" s="255"/>
      <c r="D8" s="255"/>
      <c r="E8" s="255"/>
      <c r="F8" s="255"/>
      <c r="G8" s="255"/>
      <c r="H8" s="255"/>
    </row>
    <row r="9" spans="1:8" ht="15.75" thickTop="1">
      <c r="A9" s="338"/>
      <c r="B9" s="338"/>
      <c r="C9" s="338"/>
      <c r="D9" s="338"/>
      <c r="E9" s="338"/>
      <c r="F9" s="338"/>
      <c r="G9" s="338"/>
      <c r="H9" s="338"/>
    </row>
    <row r="10" spans="1:8">
      <c r="A10" s="243"/>
      <c r="B10" s="243"/>
      <c r="C10" s="243"/>
      <c r="D10" s="243"/>
      <c r="E10" s="243"/>
      <c r="F10" s="243"/>
      <c r="G10" s="243"/>
      <c r="H10" s="243"/>
    </row>
    <row r="11" spans="1:8">
      <c r="A11" s="243"/>
      <c r="B11" s="243"/>
      <c r="C11" s="243"/>
      <c r="D11" s="243"/>
      <c r="E11" s="243"/>
      <c r="F11" s="243"/>
      <c r="G11" s="243"/>
      <c r="H11" s="243"/>
    </row>
    <row r="12" spans="1:8">
      <c r="A12" s="243"/>
      <c r="B12" s="243"/>
      <c r="C12" s="243"/>
      <c r="D12" s="243"/>
      <c r="E12" s="243"/>
      <c r="F12" s="243"/>
      <c r="G12" s="243"/>
      <c r="H12" s="243"/>
    </row>
    <row r="13" spans="1:8">
      <c r="A13" s="243"/>
      <c r="B13" s="243"/>
      <c r="C13" s="243"/>
      <c r="D13" s="243"/>
      <c r="E13" s="243"/>
      <c r="F13" s="243"/>
      <c r="G13" s="243"/>
      <c r="H13" s="243"/>
    </row>
    <row r="14" spans="1:8">
      <c r="A14" s="243"/>
      <c r="B14" s="243"/>
      <c r="C14" s="243"/>
      <c r="D14" s="243"/>
      <c r="E14" s="243"/>
      <c r="F14" s="243"/>
      <c r="G14" s="243"/>
      <c r="H14" s="243"/>
    </row>
    <row r="15" spans="1:8">
      <c r="A15" s="243"/>
      <c r="B15" s="243"/>
      <c r="C15" s="243"/>
      <c r="D15" s="243"/>
      <c r="E15" s="243"/>
      <c r="F15" s="243"/>
      <c r="G15" s="243"/>
      <c r="H15" s="243"/>
    </row>
    <row r="16" spans="1:8">
      <c r="A16" s="243"/>
      <c r="B16" s="243"/>
      <c r="C16" s="243"/>
      <c r="D16" s="243"/>
      <c r="E16" s="243"/>
      <c r="F16" s="243"/>
      <c r="G16" s="243"/>
      <c r="H16" s="243"/>
    </row>
    <row r="17" spans="1:8">
      <c r="A17" s="243"/>
      <c r="B17" s="243"/>
      <c r="C17" s="243"/>
      <c r="D17" s="243"/>
      <c r="E17" s="243"/>
      <c r="F17" s="243"/>
      <c r="G17" s="243"/>
      <c r="H17" s="243"/>
    </row>
    <row r="18" spans="1:8">
      <c r="A18" s="243"/>
      <c r="B18" s="243"/>
      <c r="C18" s="243"/>
      <c r="D18" s="243"/>
      <c r="E18" s="243"/>
      <c r="F18" s="243"/>
      <c r="G18" s="243"/>
      <c r="H18" s="243"/>
    </row>
    <row r="19" spans="1:8">
      <c r="A19" s="243"/>
      <c r="B19" s="243"/>
      <c r="C19" s="243"/>
      <c r="D19" s="243"/>
      <c r="E19" s="243"/>
      <c r="F19" s="243"/>
      <c r="G19" s="243"/>
      <c r="H19" s="243"/>
    </row>
    <row r="20" spans="1:8">
      <c r="A20" s="243"/>
      <c r="B20" s="243"/>
      <c r="C20" s="243"/>
      <c r="D20" s="243"/>
      <c r="E20" s="243"/>
      <c r="F20" s="243"/>
      <c r="G20" s="243"/>
      <c r="H20" s="243"/>
    </row>
    <row r="21" spans="1:8">
      <c r="A21" s="243"/>
      <c r="B21" s="243"/>
      <c r="C21" s="243"/>
      <c r="D21" s="243"/>
      <c r="E21" s="243"/>
      <c r="F21" s="243"/>
      <c r="G21" s="243"/>
      <c r="H21" s="243"/>
    </row>
    <row r="22" spans="1:8">
      <c r="A22" s="243"/>
      <c r="B22" s="243"/>
      <c r="C22" s="243"/>
      <c r="D22" s="243"/>
      <c r="E22" s="243"/>
      <c r="F22" s="243"/>
      <c r="G22" s="243"/>
      <c r="H22" s="243"/>
    </row>
    <row r="23" spans="1:8">
      <c r="A23" s="243"/>
      <c r="B23" s="243"/>
      <c r="C23" s="243"/>
      <c r="D23" s="243"/>
      <c r="E23" s="243"/>
      <c r="F23" s="243"/>
      <c r="G23" s="243"/>
      <c r="H23" s="243"/>
    </row>
    <row r="24" spans="1:8">
      <c r="A24" s="243"/>
      <c r="B24" s="243"/>
      <c r="C24" s="243"/>
      <c r="D24" s="243"/>
      <c r="E24" s="243"/>
      <c r="F24" s="243"/>
      <c r="G24" s="243"/>
      <c r="H24" s="243"/>
    </row>
    <row r="25" spans="1:8">
      <c r="A25" s="243"/>
      <c r="B25" s="243"/>
      <c r="C25" s="243"/>
      <c r="D25" s="243"/>
      <c r="E25" s="243"/>
      <c r="F25" s="243"/>
      <c r="G25" s="243"/>
      <c r="H25" s="243"/>
    </row>
    <row r="26" spans="1:8">
      <c r="A26" s="243"/>
      <c r="B26" s="243"/>
      <c r="C26" s="243"/>
      <c r="D26" s="243"/>
      <c r="E26" s="243"/>
      <c r="F26" s="243"/>
      <c r="G26" s="243"/>
      <c r="H26" s="243"/>
    </row>
    <row r="27" spans="1:8">
      <c r="A27" s="243"/>
      <c r="B27" s="243"/>
      <c r="C27" s="243"/>
      <c r="D27" s="243"/>
      <c r="E27" s="243"/>
      <c r="F27" s="243"/>
      <c r="G27" s="243"/>
      <c r="H27" s="243"/>
    </row>
    <row r="28" spans="1:8">
      <c r="A28" s="243"/>
      <c r="B28" s="243"/>
      <c r="C28" s="243"/>
      <c r="D28" s="243"/>
      <c r="E28" s="243"/>
      <c r="F28" s="243"/>
      <c r="G28" s="243"/>
      <c r="H28" s="243"/>
    </row>
    <row r="29" spans="1:8">
      <c r="A29" s="243"/>
      <c r="B29" s="243"/>
      <c r="C29" s="243"/>
      <c r="D29" s="243"/>
      <c r="E29" s="243"/>
      <c r="F29" s="243"/>
      <c r="G29" s="243"/>
      <c r="H29" s="243"/>
    </row>
    <row r="30" spans="1:8">
      <c r="A30" s="243"/>
      <c r="B30" s="243"/>
      <c r="C30" s="243"/>
      <c r="D30" s="243"/>
      <c r="E30" s="243"/>
      <c r="F30" s="243"/>
      <c r="G30" s="243"/>
      <c r="H30" s="243"/>
    </row>
    <row r="31" spans="1:8">
      <c r="A31" s="243"/>
      <c r="B31" s="243"/>
      <c r="C31" s="243"/>
      <c r="D31" s="243"/>
      <c r="E31" s="243"/>
      <c r="F31" s="243"/>
      <c r="G31" s="243"/>
      <c r="H31" s="243"/>
    </row>
    <row r="32" spans="1:8">
      <c r="A32" s="243"/>
      <c r="B32" s="243"/>
      <c r="C32" s="243"/>
      <c r="D32" s="243"/>
      <c r="E32" s="243"/>
      <c r="F32" s="243"/>
      <c r="G32" s="243"/>
      <c r="H32" s="243"/>
    </row>
    <row r="33" spans="1:8">
      <c r="A33" s="243"/>
      <c r="B33" s="243"/>
      <c r="C33" s="243"/>
      <c r="D33" s="243"/>
      <c r="E33" s="243"/>
      <c r="F33" s="243"/>
      <c r="G33" s="243"/>
      <c r="H33" s="243"/>
    </row>
    <row r="34" spans="1:8">
      <c r="A34" s="243"/>
      <c r="B34" s="243"/>
      <c r="C34" s="243"/>
      <c r="D34" s="243"/>
      <c r="E34" s="243"/>
      <c r="F34" s="243"/>
      <c r="G34" s="243"/>
      <c r="H34" s="243"/>
    </row>
    <row r="35" spans="1:8">
      <c r="A35" s="243"/>
      <c r="B35" s="243"/>
      <c r="C35" s="243"/>
      <c r="D35" s="243"/>
      <c r="E35" s="243"/>
      <c r="F35" s="243"/>
      <c r="G35" s="243"/>
      <c r="H35" s="243"/>
    </row>
    <row r="36" spans="1:8">
      <c r="A36" s="243"/>
      <c r="B36" s="243"/>
      <c r="C36" s="243"/>
      <c r="D36" s="243"/>
      <c r="E36" s="243"/>
      <c r="F36" s="243"/>
      <c r="G36" s="243"/>
      <c r="H36" s="243"/>
    </row>
    <row r="37" spans="1:8">
      <c r="A37" s="243"/>
      <c r="B37" s="243"/>
      <c r="C37" s="243"/>
      <c r="D37" s="243"/>
      <c r="E37" s="243"/>
      <c r="F37" s="243"/>
      <c r="G37" s="243"/>
      <c r="H37" s="243"/>
    </row>
    <row r="38" spans="1:8">
      <c r="A38" s="255"/>
      <c r="B38" s="255"/>
      <c r="C38" s="255"/>
      <c r="D38" s="255"/>
      <c r="E38" s="255"/>
      <c r="F38" s="306" t="s">
        <v>237</v>
      </c>
      <c r="G38" s="329"/>
      <c r="H38" s="243"/>
    </row>
    <row r="39" spans="1:8">
      <c r="A39" s="255"/>
      <c r="B39" s="255"/>
      <c r="C39" s="255"/>
      <c r="D39" s="255"/>
      <c r="E39" s="255"/>
      <c r="F39" s="255"/>
      <c r="G39" s="255"/>
      <c r="H39" s="255"/>
    </row>
  </sheetData>
  <phoneticPr fontId="47" type="noConversion"/>
  <pageMargins left="0.75" right="0.75" top="1" bottom="1" header="0.5" footer="0.5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F160"/>
  <sheetViews>
    <sheetView tabSelected="1" defaultGridColor="0" view="pageBreakPreview" colorId="22" zoomScale="60" zoomScaleNormal="60" workbookViewId="0">
      <pane xSplit="1" topLeftCell="B1" activePane="topRight" state="frozen"/>
      <selection pane="topRight" activeCell="C2" sqref="C2"/>
    </sheetView>
  </sheetViews>
  <sheetFormatPr defaultColWidth="11.109375" defaultRowHeight="20.25"/>
  <cols>
    <col min="1" max="1" width="45.21875" style="97" customWidth="1"/>
    <col min="2" max="2" width="31.77734375" style="100" customWidth="1"/>
    <col min="3" max="3" width="11.44140625" style="131" customWidth="1"/>
    <col min="4" max="4" width="45.109375" customWidth="1"/>
    <col min="5" max="5" width="11.109375" style="225" customWidth="1"/>
  </cols>
  <sheetData>
    <row r="1" spans="1:6" ht="21" customHeight="1">
      <c r="A1" s="9" t="s">
        <v>0</v>
      </c>
      <c r="B1" s="98"/>
      <c r="C1" s="227" t="s">
        <v>535</v>
      </c>
      <c r="F1" s="224"/>
    </row>
    <row r="2" spans="1:6" ht="21" customHeight="1">
      <c r="A2" s="9" t="s">
        <v>1</v>
      </c>
      <c r="B2" s="129"/>
      <c r="E2" s="525" t="s">
        <v>186</v>
      </c>
      <c r="F2" s="224"/>
    </row>
    <row r="3" spans="1:6" ht="21" customHeight="1">
      <c r="A3" s="9" t="s">
        <v>2</v>
      </c>
      <c r="B3" s="129"/>
      <c r="E3" s="525" t="s">
        <v>187</v>
      </c>
      <c r="F3" s="224"/>
    </row>
    <row r="4" spans="1:6" ht="21" customHeight="1">
      <c r="A4" s="9" t="s">
        <v>3</v>
      </c>
      <c r="B4" s="98"/>
      <c r="E4" s="525" t="s">
        <v>188</v>
      </c>
      <c r="F4" s="224"/>
    </row>
    <row r="5" spans="1:6" ht="21" customHeight="1">
      <c r="A5" s="9" t="s">
        <v>3</v>
      </c>
      <c r="B5" s="98"/>
      <c r="E5" s="525" t="s">
        <v>189</v>
      </c>
      <c r="F5" s="224"/>
    </row>
    <row r="6" spans="1:6" ht="21" customHeight="1">
      <c r="A6" s="9" t="s">
        <v>3</v>
      </c>
      <c r="B6" s="98"/>
      <c r="E6" s="525" t="s">
        <v>190</v>
      </c>
      <c r="F6" s="224"/>
    </row>
    <row r="7" spans="1:6" ht="21" customHeight="1">
      <c r="A7" s="9" t="s">
        <v>3</v>
      </c>
      <c r="B7" s="98"/>
      <c r="E7" s="526" t="s">
        <v>487</v>
      </c>
      <c r="F7" s="224"/>
    </row>
    <row r="8" spans="1:6" ht="21" customHeight="1">
      <c r="A8" s="9" t="s">
        <v>4</v>
      </c>
      <c r="B8" s="98"/>
      <c r="C8" s="527"/>
      <c r="E8" s="526" t="s">
        <v>488</v>
      </c>
      <c r="F8" s="224"/>
    </row>
    <row r="9" spans="1:6" ht="21" customHeight="1">
      <c r="A9" s="9" t="s">
        <v>5</v>
      </c>
      <c r="B9" s="98"/>
      <c r="E9" s="526" t="s">
        <v>489</v>
      </c>
      <c r="F9" s="224"/>
    </row>
    <row r="10" spans="1:6" ht="21" customHeight="1">
      <c r="A10" s="9" t="s">
        <v>6</v>
      </c>
      <c r="B10" s="98"/>
      <c r="E10" s="526" t="s">
        <v>490</v>
      </c>
      <c r="F10" s="224"/>
    </row>
    <row r="11" spans="1:6" ht="21" customHeight="1">
      <c r="A11" s="9" t="s">
        <v>7</v>
      </c>
      <c r="B11" s="98"/>
      <c r="E11" s="525" t="s">
        <v>191</v>
      </c>
      <c r="F11" s="224"/>
    </row>
    <row r="12" spans="1:6" ht="21" customHeight="1">
      <c r="A12" s="9" t="s">
        <v>8</v>
      </c>
      <c r="B12" s="98"/>
      <c r="E12" s="525" t="s">
        <v>192</v>
      </c>
      <c r="F12" s="224"/>
    </row>
    <row r="13" spans="1:6" ht="21" customHeight="1">
      <c r="A13" s="9" t="s">
        <v>56</v>
      </c>
      <c r="B13" s="98"/>
      <c r="E13" s="525" t="s">
        <v>193</v>
      </c>
      <c r="F13" s="224"/>
    </row>
    <row r="14" spans="1:6" ht="21" customHeight="1">
      <c r="A14" s="9" t="s">
        <v>162</v>
      </c>
      <c r="B14" s="98"/>
      <c r="E14" s="525" t="s">
        <v>194</v>
      </c>
      <c r="F14" s="224"/>
    </row>
    <row r="15" spans="1:6" ht="21" customHeight="1">
      <c r="A15" s="9" t="s">
        <v>163</v>
      </c>
      <c r="B15" s="98"/>
      <c r="E15" s="525" t="s">
        <v>195</v>
      </c>
      <c r="F15" s="224"/>
    </row>
    <row r="16" spans="1:6" ht="21" customHeight="1">
      <c r="A16" s="9" t="s">
        <v>164</v>
      </c>
      <c r="B16" s="98"/>
      <c r="E16" s="525" t="s">
        <v>196</v>
      </c>
      <c r="F16" s="224"/>
    </row>
    <row r="17" spans="1:6" ht="21" customHeight="1">
      <c r="A17" s="9" t="s">
        <v>165</v>
      </c>
      <c r="B17" s="98"/>
      <c r="E17" s="525" t="s">
        <v>197</v>
      </c>
      <c r="F17" s="224"/>
    </row>
    <row r="18" spans="1:6" ht="21" customHeight="1">
      <c r="A18" s="9" t="s">
        <v>166</v>
      </c>
      <c r="B18" s="98"/>
      <c r="E18" s="525" t="s">
        <v>198</v>
      </c>
      <c r="F18" s="224"/>
    </row>
    <row r="19" spans="1:6" ht="21" customHeight="1">
      <c r="A19" s="9" t="s">
        <v>167</v>
      </c>
      <c r="B19" s="98"/>
      <c r="E19" s="525" t="s">
        <v>199</v>
      </c>
      <c r="F19" s="224"/>
    </row>
    <row r="20" spans="1:6" ht="21" customHeight="1">
      <c r="A20" s="9" t="s">
        <v>446</v>
      </c>
      <c r="B20" s="98"/>
      <c r="E20" s="526" t="s">
        <v>491</v>
      </c>
      <c r="F20" s="224"/>
    </row>
    <row r="21" spans="1:6" ht="21" customHeight="1">
      <c r="A21" s="9" t="s">
        <v>168</v>
      </c>
      <c r="B21" s="98"/>
      <c r="E21" s="526" t="s">
        <v>492</v>
      </c>
      <c r="F21" s="224"/>
    </row>
    <row r="22" spans="1:6" ht="21" customHeight="1">
      <c r="A22" s="9" t="s">
        <v>465</v>
      </c>
      <c r="B22" s="98"/>
      <c r="C22" s="528"/>
      <c r="E22" s="526" t="s">
        <v>493</v>
      </c>
      <c r="F22" s="224"/>
    </row>
    <row r="23" spans="1:6" ht="21" customHeight="1">
      <c r="A23" s="9" t="s">
        <v>466</v>
      </c>
      <c r="B23" s="98"/>
      <c r="C23" s="529"/>
      <c r="E23" s="526" t="s">
        <v>494</v>
      </c>
      <c r="F23" s="224"/>
    </row>
    <row r="24" spans="1:6" ht="21" customHeight="1">
      <c r="A24" s="9" t="s">
        <v>467</v>
      </c>
      <c r="B24" s="98"/>
      <c r="C24" s="529"/>
      <c r="E24" s="525" t="s">
        <v>200</v>
      </c>
      <c r="F24" s="224"/>
    </row>
    <row r="25" spans="1:6" ht="21" customHeight="1">
      <c r="A25" s="9" t="s">
        <v>468</v>
      </c>
      <c r="B25" s="98"/>
      <c r="E25" s="525" t="s">
        <v>201</v>
      </c>
      <c r="F25" s="224"/>
    </row>
    <row r="26" spans="1:6" ht="21" customHeight="1">
      <c r="A26" s="9" t="s">
        <v>469</v>
      </c>
      <c r="B26" s="98"/>
      <c r="E26" s="525" t="s">
        <v>202</v>
      </c>
      <c r="F26" s="224"/>
    </row>
    <row r="27" spans="1:6" ht="21" customHeight="1">
      <c r="A27" s="9" t="s">
        <v>470</v>
      </c>
      <c r="B27" s="98"/>
      <c r="E27" s="525" t="s">
        <v>203</v>
      </c>
      <c r="F27" s="224"/>
    </row>
    <row r="28" spans="1:6" ht="21" customHeight="1">
      <c r="A28" s="9" t="s">
        <v>107</v>
      </c>
      <c r="B28" s="99"/>
      <c r="E28" s="525" t="s">
        <v>204</v>
      </c>
      <c r="F28" s="224"/>
    </row>
    <row r="29" spans="1:6" ht="21" customHeight="1">
      <c r="A29" s="9" t="s">
        <v>9</v>
      </c>
      <c r="B29" s="98"/>
      <c r="E29" s="525" t="s">
        <v>205</v>
      </c>
      <c r="F29" s="224"/>
    </row>
    <row r="30" spans="1:6" ht="21" customHeight="1">
      <c r="A30" s="9" t="s">
        <v>169</v>
      </c>
      <c r="B30" s="98">
        <v>3</v>
      </c>
      <c r="C30" s="131" t="s">
        <v>511</v>
      </c>
      <c r="E30" s="525" t="s">
        <v>206</v>
      </c>
      <c r="F30" s="224"/>
    </row>
    <row r="31" spans="1:6" ht="21" customHeight="1">
      <c r="A31" s="9" t="s">
        <v>108</v>
      </c>
      <c r="B31" s="98"/>
      <c r="E31" s="525" t="s">
        <v>207</v>
      </c>
      <c r="F31" s="224"/>
    </row>
    <row r="32" spans="1:6" ht="21" customHeight="1">
      <c r="A32" s="9" t="s">
        <v>103</v>
      </c>
      <c r="B32" s="98"/>
      <c r="E32" s="525" t="s">
        <v>208</v>
      </c>
      <c r="F32" s="224"/>
    </row>
    <row r="33" spans="1:6" ht="21" customHeight="1">
      <c r="A33" s="9" t="s">
        <v>512</v>
      </c>
      <c r="B33" s="98">
        <v>6</v>
      </c>
      <c r="C33" s="131" t="s">
        <v>519</v>
      </c>
      <c r="E33" s="525" t="s">
        <v>209</v>
      </c>
      <c r="F33" s="224"/>
    </row>
    <row r="34" spans="1:6" ht="21" customHeight="1">
      <c r="A34" s="9" t="s">
        <v>109</v>
      </c>
      <c r="B34" s="98"/>
      <c r="E34" s="525" t="s">
        <v>210</v>
      </c>
      <c r="F34" s="224"/>
    </row>
    <row r="35" spans="1:6" ht="21" customHeight="1">
      <c r="A35" s="9" t="s">
        <v>10</v>
      </c>
      <c r="B35" s="98"/>
      <c r="E35" s="525" t="s">
        <v>211</v>
      </c>
      <c r="F35" s="224"/>
    </row>
    <row r="36" spans="1:6" ht="21" customHeight="1">
      <c r="A36" s="9" t="s">
        <v>170</v>
      </c>
      <c r="B36" s="98">
        <v>1</v>
      </c>
      <c r="C36" s="131" t="s">
        <v>111</v>
      </c>
      <c r="E36" s="526" t="s">
        <v>495</v>
      </c>
      <c r="F36" s="224"/>
    </row>
    <row r="37" spans="1:6" ht="21" customHeight="1">
      <c r="A37" s="9" t="s">
        <v>11</v>
      </c>
      <c r="B37" s="98"/>
      <c r="E37" s="526" t="s">
        <v>496</v>
      </c>
      <c r="F37" s="224"/>
    </row>
    <row r="38" spans="1:6" ht="21" customHeight="1">
      <c r="A38" s="9" t="s">
        <v>12</v>
      </c>
      <c r="B38" s="98"/>
      <c r="E38" s="526" t="s">
        <v>497</v>
      </c>
      <c r="F38" s="224"/>
    </row>
    <row r="39" spans="1:6" ht="21" customHeight="1">
      <c r="A39" s="9" t="s">
        <v>171</v>
      </c>
      <c r="B39" s="503" t="str">
        <f>IF($B$30=3,"100",IF($B$30=4,"100",""))</f>
        <v>100</v>
      </c>
      <c r="E39" s="526" t="s">
        <v>498</v>
      </c>
      <c r="F39" s="224"/>
    </row>
    <row r="40" spans="1:6" ht="21" customHeight="1">
      <c r="A40" s="9" t="s">
        <v>172</v>
      </c>
      <c r="B40" s="503" t="str">
        <f>IF($B$30=3,"95-100",IF($B$30=4,"50-100",IF($B$30=5,"100","")))</f>
        <v>95-100</v>
      </c>
      <c r="E40" s="526" t="s">
        <v>499</v>
      </c>
      <c r="F40" s="224"/>
    </row>
    <row r="41" spans="1:6" ht="21" customHeight="1">
      <c r="A41" s="9" t="s">
        <v>173</v>
      </c>
      <c r="B41" s="503" t="str">
        <f>IF($B$30=4,"30-100",IF($B$30=5,"90-100",IF($B$30=6,"100","")))</f>
        <v/>
      </c>
      <c r="E41" s="526" t="s">
        <v>500</v>
      </c>
      <c r="F41" s="224"/>
    </row>
    <row r="42" spans="1:6" ht="21" customHeight="1">
      <c r="A42" s="9" t="s">
        <v>174</v>
      </c>
      <c r="B42" s="503" t="str">
        <f>IF($B$30=2,"95-100",IF($B$30=3,"25-60",IF($B$30=4,"20-75",IF($B$30=6,"90-100",""))))</f>
        <v>25-60</v>
      </c>
      <c r="E42" s="526" t="s">
        <v>501</v>
      </c>
      <c r="F42" s="224"/>
    </row>
    <row r="43" spans="1:6" ht="21" customHeight="1">
      <c r="A43" s="9" t="s">
        <v>175</v>
      </c>
      <c r="B43" s="503" t="str">
        <f>IF($B$30=4,"5-55",IF($B$30=5,"20-55",IF($B$30=6,"40-90","")))</f>
        <v/>
      </c>
      <c r="E43" s="525" t="s">
        <v>502</v>
      </c>
      <c r="F43" s="224"/>
    </row>
    <row r="44" spans="1:6" ht="21" customHeight="1">
      <c r="A44" s="9" t="s">
        <v>176</v>
      </c>
      <c r="B44" s="503" t="str">
        <f>IF($B$30=3,"0-10",IF($B$30=4,"0-10",IF($B$30=5,"0-10",IF($B$30=6,"0-30",""))))</f>
        <v>0-10</v>
      </c>
      <c r="E44" s="525" t="s">
        <v>212</v>
      </c>
      <c r="F44" s="224"/>
    </row>
    <row r="45" spans="1:6" ht="21" customHeight="1">
      <c r="A45" s="9" t="s">
        <v>177</v>
      </c>
      <c r="B45" s="503" t="str">
        <f>IF($B$30=2,"0-10",IF($B$30=3,"0-5",IF($B$30=4,"0-5",IF($B$30=5,"0-5",""))))</f>
        <v>0-5</v>
      </c>
      <c r="E45" s="525" t="s">
        <v>213</v>
      </c>
      <c r="F45" s="224"/>
    </row>
    <row r="46" spans="1:6" ht="21" customHeight="1">
      <c r="A46" s="9" t="s">
        <v>178</v>
      </c>
      <c r="B46" s="503" t="str">
        <f>IF($B$30=2,"",IF($C$46=2.5,"0-2.5",IF($B$30=3,"0-1.5",IF($B$30=4,"0-1.5",IF($B$30=5,"0-1.5",IF($B$30=6,"0-1.5",""))))))</f>
        <v>0-2.5</v>
      </c>
      <c r="C46" s="187">
        <v>2.5</v>
      </c>
      <c r="D46" s="131" t="s">
        <v>510</v>
      </c>
      <c r="E46" s="525" t="s">
        <v>214</v>
      </c>
      <c r="F46" s="224"/>
    </row>
    <row r="47" spans="1:6" ht="21" customHeight="1">
      <c r="A47" s="9" t="s">
        <v>520</v>
      </c>
      <c r="B47" s="544" t="str">
        <f>IF($B$33=6, "100","")</f>
        <v>100</v>
      </c>
      <c r="C47" s="530"/>
      <c r="D47" s="131"/>
      <c r="E47" s="525" t="s">
        <v>215</v>
      </c>
      <c r="F47" s="224"/>
    </row>
    <row r="48" spans="1:6" ht="21" customHeight="1">
      <c r="A48" s="9" t="s">
        <v>513</v>
      </c>
      <c r="B48" s="544" t="str">
        <f>IF($B$33=6, "90-100",IF($B$33=2,"95-100",""))</f>
        <v>90-100</v>
      </c>
      <c r="C48" s="530"/>
      <c r="D48" s="131"/>
      <c r="E48" s="525" t="s">
        <v>216</v>
      </c>
      <c r="F48" s="224"/>
    </row>
    <row r="49" spans="1:6" ht="21" customHeight="1">
      <c r="A49" s="9" t="s">
        <v>521</v>
      </c>
      <c r="B49" s="544" t="str">
        <f>IF($B$33=6, "40-90","")</f>
        <v>40-90</v>
      </c>
      <c r="C49" s="530"/>
      <c r="D49" s="131"/>
      <c r="E49" s="525" t="s">
        <v>217</v>
      </c>
      <c r="F49" s="224"/>
    </row>
    <row r="50" spans="1:6" ht="21" customHeight="1">
      <c r="A50" s="9" t="s">
        <v>518</v>
      </c>
      <c r="B50" s="544" t="str">
        <f>IF($B$33=6,"0-30","")</f>
        <v>0-30</v>
      </c>
      <c r="C50" s="530"/>
      <c r="D50" s="131"/>
      <c r="E50" s="525" t="s">
        <v>503</v>
      </c>
      <c r="F50" s="224"/>
    </row>
    <row r="51" spans="1:6" ht="21" customHeight="1">
      <c r="A51" s="9" t="s">
        <v>514</v>
      </c>
      <c r="B51" s="544" t="str">
        <f>IF($B$33=2,"0-10","")</f>
        <v/>
      </c>
      <c r="C51" s="530"/>
      <c r="D51" s="131"/>
      <c r="E51" s="525" t="s">
        <v>218</v>
      </c>
      <c r="F51" s="224"/>
    </row>
    <row r="52" spans="1:6" ht="21" customHeight="1">
      <c r="A52" s="9" t="s">
        <v>522</v>
      </c>
      <c r="B52" s="544" t="str">
        <f>IF(AND($B$33=6,$C$46=1.5), "0-1.5", IF(AND($B$33=6,$C$46=2.5), "0-2.5",""))</f>
        <v>0-2.5</v>
      </c>
      <c r="C52" s="530"/>
      <c r="D52" s="131"/>
      <c r="E52" s="525" t="s">
        <v>504</v>
      </c>
      <c r="F52" s="224"/>
    </row>
    <row r="53" spans="1:6" ht="21" customHeight="1">
      <c r="A53" s="9" t="s">
        <v>179</v>
      </c>
      <c r="B53" s="504" t="str">
        <f>IF($B$36=1,"100","")</f>
        <v>100</v>
      </c>
      <c r="E53" s="525" t="s">
        <v>219</v>
      </c>
      <c r="F53" s="224"/>
    </row>
    <row r="54" spans="1:6" ht="21" customHeight="1">
      <c r="A54" s="9" t="s">
        <v>180</v>
      </c>
      <c r="B54" s="504" t="str">
        <f>IF($B$36=1,"90-100",IF($B$36=7,"80-92",""))</f>
        <v>90-100</v>
      </c>
      <c r="E54" s="525" t="s">
        <v>220</v>
      </c>
      <c r="F54" s="224"/>
    </row>
    <row r="55" spans="1:6" ht="21" customHeight="1">
      <c r="A55" s="9" t="s">
        <v>181</v>
      </c>
      <c r="B55" s="504" t="str">
        <f>IF($B$36=1,"70-100",IF($B$36=7,"60-75",""))</f>
        <v>70-100</v>
      </c>
      <c r="E55" s="525" t="s">
        <v>221</v>
      </c>
      <c r="F55" s="224"/>
    </row>
    <row r="56" spans="1:6" ht="21" customHeight="1">
      <c r="A56" s="9" t="s">
        <v>182</v>
      </c>
      <c r="B56" s="504" t="str">
        <f>IF($B$36=1,"10-60",IF($B$36=7,"20-40",""))</f>
        <v>10-60</v>
      </c>
      <c r="E56" s="525" t="s">
        <v>505</v>
      </c>
      <c r="F56" s="224"/>
    </row>
    <row r="57" spans="1:6">
      <c r="A57" s="9" t="s">
        <v>183</v>
      </c>
      <c r="B57" s="504" t="str">
        <f>IF($B$36=1,"0-1.5","")</f>
        <v>0-1.5</v>
      </c>
      <c r="E57" s="525" t="s">
        <v>222</v>
      </c>
      <c r="F57" s="224"/>
    </row>
    <row r="58" spans="1:6">
      <c r="A58" s="185" t="s">
        <v>184</v>
      </c>
      <c r="B58" s="98"/>
      <c r="E58" s="525" t="s">
        <v>506</v>
      </c>
      <c r="F58" s="224"/>
    </row>
    <row r="59" spans="1:6">
      <c r="A59" s="185" t="s">
        <v>473</v>
      </c>
      <c r="B59" s="98"/>
      <c r="E59" s="525" t="s">
        <v>223</v>
      </c>
      <c r="F59" s="224"/>
    </row>
    <row r="60" spans="1:6">
      <c r="A60" s="185" t="s">
        <v>185</v>
      </c>
      <c r="B60" s="98"/>
      <c r="E60" s="525" t="s">
        <v>224</v>
      </c>
      <c r="F60" s="224"/>
    </row>
    <row r="61" spans="1:6">
      <c r="A61" s="185" t="s">
        <v>441</v>
      </c>
      <c r="B61" s="98"/>
      <c r="E61" s="525" t="s">
        <v>507</v>
      </c>
      <c r="F61" s="224"/>
    </row>
    <row r="62" spans="1:6">
      <c r="A62" s="185" t="s">
        <v>442</v>
      </c>
      <c r="B62" s="98"/>
      <c r="E62" s="525" t="s">
        <v>508</v>
      </c>
      <c r="F62" s="224"/>
    </row>
    <row r="63" spans="1:6">
      <c r="E63" s="525" t="s">
        <v>509</v>
      </c>
      <c r="F63" s="224"/>
    </row>
    <row r="64" spans="1:6">
      <c r="F64" s="224"/>
    </row>
    <row r="65" spans="1:6">
      <c r="F65" s="224"/>
    </row>
    <row r="66" spans="1:6" ht="21" customHeight="1">
      <c r="F66" s="224"/>
    </row>
    <row r="67" spans="1:6" ht="21" customHeight="1">
      <c r="F67" s="224"/>
    </row>
    <row r="68" spans="1:6" ht="21" customHeight="1">
      <c r="A68" s="9"/>
      <c r="B68" s="98"/>
      <c r="F68" s="224"/>
    </row>
    <row r="69" spans="1:6" ht="21" customHeight="1">
      <c r="A69" s="9"/>
      <c r="B69" s="98"/>
      <c r="E69" s="226"/>
      <c r="F69" s="224"/>
    </row>
    <row r="70" spans="1:6" ht="21" customHeight="1">
      <c r="A70" s="9"/>
      <c r="B70" s="98"/>
      <c r="E70" s="226"/>
      <c r="F70" s="224"/>
    </row>
    <row r="71" spans="1:6" ht="21" customHeight="1">
      <c r="A71" s="9"/>
      <c r="B71" s="98"/>
      <c r="E71" s="226"/>
      <c r="F71" s="224"/>
    </row>
    <row r="72" spans="1:6" ht="21" customHeight="1">
      <c r="A72" s="9"/>
      <c r="B72" s="98"/>
      <c r="E72" s="226"/>
      <c r="F72" s="224"/>
    </row>
    <row r="73" spans="1:6" ht="21" customHeight="1">
      <c r="A73" s="9"/>
      <c r="B73" s="98"/>
      <c r="E73" s="226"/>
      <c r="F73" s="224"/>
    </row>
    <row r="74" spans="1:6" ht="21" customHeight="1">
      <c r="A74" s="9"/>
      <c r="B74" s="98"/>
      <c r="F74" s="224"/>
    </row>
    <row r="75" spans="1:6" ht="21" customHeight="1">
      <c r="A75" s="9"/>
      <c r="B75" s="98"/>
      <c r="F75" s="224"/>
    </row>
    <row r="76" spans="1:6" ht="21" customHeight="1">
      <c r="A76" s="9"/>
      <c r="B76" s="98"/>
      <c r="F76" s="224"/>
    </row>
    <row r="77" spans="1:6" ht="21" customHeight="1">
      <c r="A77" s="9"/>
      <c r="B77" s="98"/>
      <c r="F77" s="224"/>
    </row>
    <row r="78" spans="1:6" ht="21" customHeight="1">
      <c r="A78" s="9"/>
      <c r="B78" s="98"/>
      <c r="F78" s="224"/>
    </row>
    <row r="79" spans="1:6">
      <c r="A79" s="9"/>
      <c r="B79" s="98"/>
      <c r="F79" s="224"/>
    </row>
    <row r="80" spans="1:6">
      <c r="A80" s="9"/>
      <c r="B80" s="98"/>
      <c r="F80" s="224"/>
    </row>
    <row r="81" spans="6:6">
      <c r="F81" s="224"/>
    </row>
    <row r="82" spans="6:6">
      <c r="F82" s="224"/>
    </row>
    <row r="83" spans="6:6">
      <c r="F83" s="224"/>
    </row>
    <row r="84" spans="6:6">
      <c r="F84" s="224"/>
    </row>
    <row r="85" spans="6:6">
      <c r="F85" s="224"/>
    </row>
    <row r="86" spans="6:6">
      <c r="F86" s="224"/>
    </row>
    <row r="87" spans="6:6">
      <c r="F87" s="224"/>
    </row>
    <row r="88" spans="6:6">
      <c r="F88" s="224"/>
    </row>
    <row r="89" spans="6:6">
      <c r="F89" s="224"/>
    </row>
    <row r="90" spans="6:6">
      <c r="F90" s="224"/>
    </row>
    <row r="91" spans="6:6">
      <c r="F91" s="224"/>
    </row>
    <row r="92" spans="6:6">
      <c r="F92" s="224"/>
    </row>
    <row r="93" spans="6:6">
      <c r="F93" s="224"/>
    </row>
    <row r="94" spans="6:6">
      <c r="F94" s="224"/>
    </row>
    <row r="95" spans="6:6">
      <c r="F95" s="224"/>
    </row>
    <row r="96" spans="6:6">
      <c r="F96" s="224"/>
    </row>
    <row r="97" spans="6:6">
      <c r="F97" s="224"/>
    </row>
    <row r="98" spans="6:6">
      <c r="F98" s="224"/>
    </row>
    <row r="99" spans="6:6">
      <c r="F99" s="224"/>
    </row>
    <row r="100" spans="6:6">
      <c r="F100" s="224"/>
    </row>
    <row r="101" spans="6:6">
      <c r="F101" s="224"/>
    </row>
    <row r="102" spans="6:6">
      <c r="F102" s="224"/>
    </row>
    <row r="103" spans="6:6">
      <c r="F103" s="224"/>
    </row>
    <row r="104" spans="6:6">
      <c r="F104" s="224"/>
    </row>
    <row r="105" spans="6:6">
      <c r="F105" s="224"/>
    </row>
    <row r="106" spans="6:6">
      <c r="F106" s="224"/>
    </row>
    <row r="107" spans="6:6">
      <c r="F107" s="224"/>
    </row>
    <row r="108" spans="6:6">
      <c r="F108" s="224"/>
    </row>
    <row r="109" spans="6:6">
      <c r="F109" s="224"/>
    </row>
    <row r="110" spans="6:6">
      <c r="F110" s="224"/>
    </row>
    <row r="111" spans="6:6">
      <c r="F111" s="224"/>
    </row>
    <row r="112" spans="6:6">
      <c r="F112" s="224"/>
    </row>
    <row r="113" spans="6:6">
      <c r="F113" s="224"/>
    </row>
    <row r="114" spans="6:6">
      <c r="F114" s="224"/>
    </row>
    <row r="115" spans="6:6">
      <c r="F115" s="224"/>
    </row>
    <row r="116" spans="6:6">
      <c r="F116" s="224"/>
    </row>
    <row r="117" spans="6:6">
      <c r="F117" s="224"/>
    </row>
    <row r="118" spans="6:6">
      <c r="F118" s="224"/>
    </row>
    <row r="119" spans="6:6">
      <c r="F119" s="224"/>
    </row>
    <row r="120" spans="6:6">
      <c r="F120" s="224"/>
    </row>
    <row r="121" spans="6:6">
      <c r="F121" s="224"/>
    </row>
    <row r="122" spans="6:6">
      <c r="F122" s="224"/>
    </row>
    <row r="123" spans="6:6">
      <c r="F123" s="224"/>
    </row>
    <row r="124" spans="6:6">
      <c r="F124" s="224"/>
    </row>
    <row r="125" spans="6:6">
      <c r="F125" s="224"/>
    </row>
    <row r="126" spans="6:6">
      <c r="F126" s="224"/>
    </row>
    <row r="127" spans="6:6">
      <c r="F127" s="224"/>
    </row>
    <row r="128" spans="6:6">
      <c r="F128" s="224"/>
    </row>
    <row r="129" spans="6:6">
      <c r="F129" s="224"/>
    </row>
    <row r="130" spans="6:6">
      <c r="F130" s="224"/>
    </row>
    <row r="131" spans="6:6">
      <c r="F131" s="224"/>
    </row>
    <row r="132" spans="6:6">
      <c r="F132" s="224"/>
    </row>
    <row r="133" spans="6:6">
      <c r="F133" s="224"/>
    </row>
    <row r="134" spans="6:6">
      <c r="F134" s="224"/>
    </row>
    <row r="135" spans="6:6">
      <c r="F135" s="224"/>
    </row>
    <row r="136" spans="6:6">
      <c r="F136" s="224"/>
    </row>
    <row r="137" spans="6:6">
      <c r="F137" s="224"/>
    </row>
    <row r="138" spans="6:6">
      <c r="F138" s="224"/>
    </row>
    <row r="139" spans="6:6">
      <c r="F139" s="224"/>
    </row>
    <row r="140" spans="6:6">
      <c r="F140" s="224"/>
    </row>
    <row r="141" spans="6:6">
      <c r="F141" s="224"/>
    </row>
    <row r="142" spans="6:6">
      <c r="F142" s="224"/>
    </row>
    <row r="143" spans="6:6">
      <c r="F143" s="224"/>
    </row>
    <row r="144" spans="6:6">
      <c r="F144" s="224"/>
    </row>
    <row r="145" spans="6:6">
      <c r="F145" s="224"/>
    </row>
    <row r="146" spans="6:6">
      <c r="F146" s="224"/>
    </row>
    <row r="147" spans="6:6">
      <c r="F147" s="224"/>
    </row>
    <row r="148" spans="6:6">
      <c r="F148" s="224"/>
    </row>
    <row r="149" spans="6:6">
      <c r="F149" s="224"/>
    </row>
    <row r="150" spans="6:6">
      <c r="F150" s="224"/>
    </row>
    <row r="151" spans="6:6">
      <c r="F151" s="224"/>
    </row>
    <row r="152" spans="6:6">
      <c r="F152" s="224"/>
    </row>
    <row r="153" spans="6:6">
      <c r="F153" s="224"/>
    </row>
    <row r="154" spans="6:6">
      <c r="F154" s="224"/>
    </row>
    <row r="155" spans="6:6">
      <c r="F155" s="224"/>
    </row>
    <row r="156" spans="6:6">
      <c r="F156" s="224"/>
    </row>
    <row r="157" spans="6:6">
      <c r="F157" s="224"/>
    </row>
    <row r="158" spans="6:6">
      <c r="F158" s="224"/>
    </row>
    <row r="159" spans="6:6">
      <c r="F159" s="224"/>
    </row>
    <row r="160" spans="6:6">
      <c r="F160" s="224"/>
    </row>
  </sheetData>
  <sheetProtection algorithmName="SHA-512" hashValue="yY7vqc5uGPMtDH0Plhmge0+nVnyB+jl5yLooR7JDJKjEuIfRjfIFjC/+SqnaCGjBYA1ZaPg6NYG0vq8teYiP7Q==" saltValue="1+E3gmpUpD5hjvdo44XuXg==" spinCount="100000" sheet="1" objects="1" scenarios="1"/>
  <phoneticPr fontId="0" type="noConversion"/>
  <pageMargins left="0.5" right="0.57299999999999995" top="0.6" bottom="0.46" header="0.5" footer="0.5"/>
  <pageSetup scale="5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F40"/>
  <sheetViews>
    <sheetView view="pageBreakPreview" zoomScaleNormal="100" workbookViewId="0">
      <selection activeCell="D9" sqref="D9"/>
    </sheetView>
  </sheetViews>
  <sheetFormatPr defaultRowHeight="15"/>
  <cols>
    <col min="1" max="1" width="18.77734375" customWidth="1"/>
    <col min="2" max="2" width="16.77734375" customWidth="1"/>
    <col min="3" max="3" width="4.77734375" customWidth="1"/>
    <col min="4" max="4" width="15.77734375" customWidth="1"/>
    <col min="5" max="5" width="2.77734375" customWidth="1"/>
    <col min="6" max="6" width="15.77734375" customWidth="1"/>
  </cols>
  <sheetData>
    <row r="1" spans="1:6">
      <c r="A1" s="228" t="s">
        <v>226</v>
      </c>
      <c r="B1" s="228"/>
      <c r="C1" s="21"/>
      <c r="D1" s="21"/>
      <c r="E1" s="21"/>
      <c r="F1" s="229" t="s">
        <v>227</v>
      </c>
    </row>
    <row r="2" spans="1:6">
      <c r="A2" s="230" t="s">
        <v>228</v>
      </c>
      <c r="B2" s="231"/>
      <c r="C2" s="231"/>
      <c r="D2" s="231"/>
      <c r="E2" s="231"/>
      <c r="F2" s="230"/>
    </row>
    <row r="3" spans="1:6">
      <c r="A3" s="233" t="s">
        <v>229</v>
      </c>
      <c r="B3" s="234">
        <f>'Proj Info'!B4</f>
        <v>0</v>
      </c>
      <c r="C3" s="235"/>
      <c r="D3" s="232"/>
      <c r="E3" s="232"/>
      <c r="F3" s="12"/>
    </row>
    <row r="4" spans="1:6">
      <c r="B4" s="234">
        <f>'Proj Info'!B5</f>
        <v>0</v>
      </c>
      <c r="C4" s="235"/>
      <c r="D4" s="230" t="s">
        <v>230</v>
      </c>
      <c r="E4" s="230"/>
      <c r="F4" s="236">
        <f>'Proj Info'!B11</f>
        <v>0</v>
      </c>
    </row>
    <row r="5" spans="1:6" ht="15.75" thickBot="1">
      <c r="A5" s="237"/>
      <c r="B5" s="460">
        <f>'Proj Info'!B6</f>
        <v>0</v>
      </c>
      <c r="C5" s="237"/>
      <c r="D5" s="237"/>
      <c r="E5" s="237"/>
      <c r="F5" s="237"/>
    </row>
    <row r="6" spans="1:6" ht="15.75" thickTop="1">
      <c r="A6" s="233" t="s">
        <v>231</v>
      </c>
      <c r="B6" s="234">
        <f>'Proj Info'!B10</f>
        <v>0</v>
      </c>
      <c r="C6" s="235"/>
      <c r="D6" s="238"/>
      <c r="E6" s="238"/>
      <c r="F6" s="230"/>
    </row>
    <row r="7" spans="1:6">
      <c r="A7" s="233" t="s">
        <v>232</v>
      </c>
      <c r="B7" s="234" t="str">
        <f>IF('Proj Info'!B14="X","Central Batch",IF('Proj Info'!B15="X","Ready Mix",""))</f>
        <v/>
      </c>
      <c r="C7" s="235"/>
      <c r="D7" s="238"/>
      <c r="E7" s="238"/>
      <c r="F7" s="230"/>
    </row>
    <row r="8" spans="1:6">
      <c r="A8" s="239" t="s">
        <v>233</v>
      </c>
      <c r="B8" s="240">
        <f>'Proj Info'!B9</f>
        <v>0</v>
      </c>
      <c r="C8" s="241"/>
      <c r="D8" s="242"/>
      <c r="E8" s="242"/>
      <c r="F8" s="230"/>
    </row>
    <row r="9" spans="1:6">
      <c r="A9" s="239" t="s">
        <v>234</v>
      </c>
      <c r="B9" s="461"/>
      <c r="C9" s="462"/>
      <c r="D9" s="242"/>
      <c r="E9" s="242"/>
      <c r="F9" s="242"/>
    </row>
    <row r="10" spans="1:6">
      <c r="A10" s="233" t="s">
        <v>235</v>
      </c>
      <c r="B10" s="461"/>
      <c r="C10" s="462"/>
      <c r="D10" s="242"/>
      <c r="E10" s="242"/>
      <c r="F10" s="242"/>
    </row>
    <row r="11" spans="1:6">
      <c r="A11" s="233" t="s">
        <v>236</v>
      </c>
      <c r="B11" s="463"/>
      <c r="C11" s="462"/>
      <c r="D11" s="242"/>
      <c r="E11" s="242"/>
      <c r="F11" s="242"/>
    </row>
    <row r="12" spans="1:6">
      <c r="A12" s="233" t="s">
        <v>237</v>
      </c>
      <c r="B12" s="461"/>
      <c r="C12" s="462"/>
      <c r="D12" s="242"/>
      <c r="E12" s="242"/>
      <c r="F12" s="242"/>
    </row>
    <row r="13" spans="1:6">
      <c r="A13" s="233"/>
      <c r="B13" s="232"/>
      <c r="C13" s="232"/>
      <c r="D13" s="242"/>
      <c r="E13" s="242"/>
      <c r="F13" s="242"/>
    </row>
    <row r="14" spans="1:6">
      <c r="A14" s="238" t="s">
        <v>238</v>
      </c>
      <c r="B14" s="230"/>
      <c r="C14" s="230"/>
      <c r="D14" s="242"/>
      <c r="E14" s="242"/>
      <c r="F14" s="242"/>
    </row>
    <row r="15" spans="1:6">
      <c r="A15" s="244">
        <f>'Proj Info'!B28</f>
        <v>0</v>
      </c>
      <c r="B15" s="244">
        <f>'Proj Info'!B29</f>
        <v>0</v>
      </c>
      <c r="C15" s="245"/>
      <c r="D15" s="244">
        <f>'Proj Info'!B22</f>
        <v>0</v>
      </c>
      <c r="E15" s="244"/>
      <c r="F15" s="244"/>
    </row>
    <row r="16" spans="1:6">
      <c r="A16" s="244">
        <f>'Proj Info'!B31</f>
        <v>0</v>
      </c>
      <c r="B16" s="244">
        <f>'Proj Info'!B32</f>
        <v>0</v>
      </c>
      <c r="C16" s="245"/>
      <c r="D16" s="244">
        <f>'Proj Info'!B23</f>
        <v>0</v>
      </c>
      <c r="E16" s="244"/>
      <c r="F16" s="244"/>
    </row>
    <row r="17" spans="1:6">
      <c r="A17" s="244">
        <f>'Proj Info'!B34</f>
        <v>0</v>
      </c>
      <c r="B17" s="244">
        <f>'Proj Info'!B35</f>
        <v>0</v>
      </c>
      <c r="C17" s="245"/>
      <c r="D17" s="244">
        <f>'Proj Info'!B24</f>
        <v>0</v>
      </c>
      <c r="E17" s="244"/>
      <c r="F17" s="244"/>
    </row>
    <row r="18" spans="1:6">
      <c r="A18" s="244">
        <f>'Proj Info'!B25</f>
        <v>0</v>
      </c>
      <c r="B18" s="244"/>
      <c r="C18" s="245"/>
      <c r="D18" s="244">
        <f>'Proj Info'!B27</f>
        <v>0</v>
      </c>
      <c r="E18" s="244"/>
      <c r="F18" s="244"/>
    </row>
    <row r="19" spans="1:6">
      <c r="A19" s="244">
        <f>'Proj Info'!B26</f>
        <v>0</v>
      </c>
      <c r="B19" s="244"/>
      <c r="C19" s="245"/>
      <c r="D19" s="464"/>
      <c r="E19" s="464"/>
      <c r="F19" s="464"/>
    </row>
    <row r="20" spans="1:6">
      <c r="A20" s="242"/>
      <c r="B20" s="242"/>
      <c r="C20" s="12"/>
      <c r="D20" s="246"/>
      <c r="E20" s="246"/>
      <c r="F20" s="246"/>
    </row>
    <row r="21" spans="1:6">
      <c r="A21" s="233"/>
      <c r="B21" s="232"/>
      <c r="C21" s="232"/>
      <c r="D21" s="247" t="s">
        <v>239</v>
      </c>
      <c r="E21" s="248"/>
      <c r="F21" s="247" t="s">
        <v>240</v>
      </c>
    </row>
    <row r="22" spans="1:6">
      <c r="A22" s="233" t="s">
        <v>241</v>
      </c>
      <c r="B22" s="462"/>
      <c r="C22" s="232"/>
      <c r="D22" s="462"/>
      <c r="E22" s="465"/>
      <c r="F22" s="462"/>
    </row>
    <row r="23" spans="1:6">
      <c r="A23" s="233" t="s">
        <v>242</v>
      </c>
      <c r="B23" s="235">
        <f>'Proj Info'!B61</f>
        <v>0</v>
      </c>
      <c r="C23" s="232"/>
      <c r="D23" s="462"/>
      <c r="E23" s="465"/>
      <c r="F23" s="462"/>
    </row>
    <row r="24" spans="1:6">
      <c r="A24" s="233" t="s">
        <v>243</v>
      </c>
      <c r="B24" s="235">
        <f>'Proj Info'!B62</f>
        <v>0</v>
      </c>
      <c r="C24" s="232"/>
      <c r="D24" s="462"/>
      <c r="E24" s="465"/>
      <c r="F24" s="462"/>
    </row>
    <row r="25" spans="1:6">
      <c r="A25" s="233" t="s">
        <v>242</v>
      </c>
      <c r="B25" s="235"/>
      <c r="C25" s="232"/>
      <c r="D25" s="462"/>
      <c r="E25" s="465"/>
      <c r="F25" s="462"/>
    </row>
    <row r="26" spans="1:6">
      <c r="A26" s="233" t="s">
        <v>243</v>
      </c>
      <c r="B26" s="462"/>
      <c r="C26" s="465"/>
      <c r="D26" s="462"/>
      <c r="E26" s="465"/>
      <c r="F26" s="462"/>
    </row>
    <row r="27" spans="1:6">
      <c r="A27" s="233"/>
      <c r="B27" s="462"/>
      <c r="C27" s="465"/>
      <c r="D27" s="462"/>
      <c r="E27" s="465"/>
      <c r="F27" s="462"/>
    </row>
    <row r="28" spans="1:6">
      <c r="A28" s="233"/>
      <c r="B28" s="235"/>
      <c r="C28" s="232"/>
      <c r="D28" s="462"/>
      <c r="E28" s="465"/>
      <c r="F28" s="462"/>
    </row>
    <row r="29" spans="1:6">
      <c r="A29" s="233" t="s">
        <v>244</v>
      </c>
      <c r="B29" s="235">
        <f>'Proj Info'!B37</f>
        <v>0</v>
      </c>
      <c r="C29" s="232"/>
      <c r="D29" s="462"/>
      <c r="E29" s="465"/>
      <c r="F29" s="462"/>
    </row>
    <row r="30" spans="1:6">
      <c r="A30" s="233" t="s">
        <v>243</v>
      </c>
      <c r="B30" s="235">
        <f>'Proj Info'!B38</f>
        <v>0</v>
      </c>
      <c r="C30" s="232"/>
      <c r="D30" s="462"/>
      <c r="E30" s="465"/>
      <c r="F30" s="462"/>
    </row>
    <row r="31" spans="1:6">
      <c r="A31" s="233" t="s">
        <v>244</v>
      </c>
      <c r="B31" s="462"/>
      <c r="C31" s="232"/>
      <c r="D31" s="462"/>
      <c r="E31" s="465"/>
      <c r="F31" s="462"/>
    </row>
    <row r="32" spans="1:6">
      <c r="A32" s="233" t="s">
        <v>243</v>
      </c>
      <c r="B32" s="462"/>
      <c r="C32" s="232"/>
      <c r="D32" s="462"/>
      <c r="E32" s="465"/>
      <c r="F32" s="462"/>
    </row>
    <row r="33" spans="1:6">
      <c r="A33" s="233"/>
      <c r="B33" s="232"/>
      <c r="C33" s="232"/>
      <c r="D33" s="465"/>
      <c r="E33" s="465"/>
      <c r="F33" s="465"/>
    </row>
    <row r="34" spans="1:6">
      <c r="A34" s="233" t="s">
        <v>245</v>
      </c>
      <c r="B34" s="462"/>
      <c r="C34" s="232"/>
      <c r="D34" s="462"/>
      <c r="E34" s="465"/>
      <c r="F34" s="462"/>
    </row>
    <row r="35" spans="1:6">
      <c r="A35" s="233" t="s">
        <v>246</v>
      </c>
      <c r="B35" s="462"/>
      <c r="C35" s="232"/>
      <c r="D35" s="462"/>
      <c r="E35" s="465"/>
      <c r="F35" s="462"/>
    </row>
    <row r="36" spans="1:6">
      <c r="A36" s="233" t="s">
        <v>247</v>
      </c>
      <c r="B36" s="462"/>
      <c r="C36" s="232"/>
      <c r="D36" s="462"/>
      <c r="E36" s="465"/>
      <c r="F36" s="462"/>
    </row>
    <row r="37" spans="1:6">
      <c r="A37" s="233" t="s">
        <v>248</v>
      </c>
      <c r="B37" s="462"/>
      <c r="C37" s="232"/>
      <c r="D37" s="462"/>
      <c r="E37" s="465"/>
      <c r="F37" s="462"/>
    </row>
    <row r="38" spans="1:6">
      <c r="A38" s="233" t="s">
        <v>248</v>
      </c>
      <c r="B38" s="462"/>
      <c r="C38" s="232"/>
      <c r="D38" s="462"/>
      <c r="E38" s="465"/>
      <c r="F38" s="462"/>
    </row>
    <row r="39" spans="1:6">
      <c r="A39" s="233"/>
      <c r="B39" s="465"/>
      <c r="C39" s="232"/>
      <c r="D39" s="246"/>
      <c r="E39" s="246"/>
      <c r="F39" s="246"/>
    </row>
    <row r="40" spans="1:6">
      <c r="A40" s="233" t="s">
        <v>249</v>
      </c>
      <c r="B40" s="462"/>
      <c r="C40" s="232"/>
      <c r="D40" s="242" t="s">
        <v>250</v>
      </c>
      <c r="E40" s="242"/>
      <c r="F40" s="466"/>
    </row>
  </sheetData>
  <sheetProtection sheet="1" objects="1" scenarios="1"/>
  <phoneticPr fontId="47" type="noConversion"/>
  <pageMargins left="0.75" right="0.75" top="1" bottom="1" header="0.5" footer="0.5"/>
  <pageSetup scale="9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AE43"/>
  <sheetViews>
    <sheetView view="pageBreakPreview" zoomScale="87" zoomScaleNormal="87" workbookViewId="0">
      <selection activeCell="A3" sqref="A3"/>
    </sheetView>
  </sheetViews>
  <sheetFormatPr defaultRowHeight="15"/>
  <cols>
    <col min="1" max="1" width="8.77734375" customWidth="1"/>
    <col min="2" max="31" width="4.77734375" customWidth="1"/>
  </cols>
  <sheetData>
    <row r="1" spans="1:31" ht="12" customHeight="1">
      <c r="A1" s="228" t="s">
        <v>226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49" t="s">
        <v>251</v>
      </c>
    </row>
    <row r="2" spans="1:31" ht="15" customHeight="1">
      <c r="A2" s="230" t="s">
        <v>482</v>
      </c>
      <c r="B2" s="250"/>
      <c r="C2" s="250"/>
      <c r="D2" s="250"/>
      <c r="E2" s="251"/>
      <c r="F2" s="250"/>
      <c r="G2" s="250"/>
      <c r="H2" s="251"/>
      <c r="I2" s="251"/>
      <c r="J2" s="251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1"/>
    </row>
    <row r="3" spans="1:31" ht="15.75">
      <c r="A3" s="21"/>
      <c r="B3" s="252"/>
      <c r="C3" s="252"/>
      <c r="D3" s="253"/>
      <c r="E3" s="253"/>
      <c r="F3" s="253"/>
      <c r="G3" s="253"/>
      <c r="H3" s="253"/>
      <c r="I3" s="252"/>
      <c r="J3" s="251"/>
      <c r="K3" s="250"/>
      <c r="L3" s="25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30" t="s">
        <v>252</v>
      </c>
      <c r="AA3" s="254"/>
      <c r="AB3" s="461"/>
      <c r="AC3" s="461"/>
      <c r="AD3" s="461"/>
      <c r="AE3" s="255"/>
    </row>
    <row r="4" spans="1:31" ht="20.100000000000001" customHeight="1">
      <c r="A4" s="467" t="s">
        <v>18</v>
      </c>
      <c r="B4" s="234">
        <f>'Proj Info'!B4</f>
        <v>0</v>
      </c>
      <c r="C4" s="234"/>
      <c r="D4" s="234"/>
      <c r="E4" s="234"/>
      <c r="F4" s="234"/>
      <c r="G4" s="234"/>
      <c r="H4" s="232"/>
      <c r="I4" s="21"/>
      <c r="J4" s="251"/>
      <c r="K4" s="250"/>
      <c r="L4" s="25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30" t="s">
        <v>230</v>
      </c>
      <c r="AA4" s="250"/>
      <c r="AB4" s="243">
        <f>'Proj Info'!B11</f>
        <v>0</v>
      </c>
      <c r="AC4" s="243"/>
      <c r="AD4" s="243"/>
      <c r="AE4" s="243"/>
    </row>
    <row r="5" spans="1:31" ht="9.9499999999999993" customHeight="1">
      <c r="A5" s="252"/>
      <c r="B5" s="252"/>
      <c r="C5" s="252"/>
      <c r="D5" s="252"/>
      <c r="E5" s="252"/>
      <c r="F5" s="252"/>
      <c r="G5" s="252"/>
      <c r="H5" s="25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14.1" customHeight="1">
      <c r="A6" s="256"/>
      <c r="B6" s="257"/>
      <c r="C6" s="258"/>
      <c r="D6" s="258"/>
      <c r="E6" s="259"/>
      <c r="F6" s="260" t="s">
        <v>253</v>
      </c>
      <c r="G6" s="261"/>
      <c r="H6" s="261"/>
      <c r="I6" s="262"/>
      <c r="J6" s="260" t="s">
        <v>254</v>
      </c>
      <c r="K6" s="261"/>
      <c r="L6" s="263"/>
      <c r="M6" s="260" t="s">
        <v>255</v>
      </c>
      <c r="N6" s="261"/>
      <c r="O6" s="263"/>
      <c r="P6" s="264"/>
      <c r="Q6" s="265"/>
      <c r="R6" s="265"/>
      <c r="S6" s="265"/>
      <c r="T6" s="265"/>
      <c r="U6" s="266"/>
      <c r="V6" s="264"/>
      <c r="W6" s="265"/>
      <c r="X6" s="265"/>
      <c r="Y6" s="266"/>
      <c r="Z6" s="264"/>
      <c r="AA6" s="265"/>
      <c r="AB6" s="265"/>
      <c r="AC6" s="265"/>
      <c r="AD6" s="266"/>
      <c r="AE6" s="21"/>
    </row>
    <row r="7" spans="1:31" ht="14.1" customHeight="1" thickBot="1">
      <c r="A7" s="256"/>
      <c r="B7" s="267" t="s">
        <v>256</v>
      </c>
      <c r="C7" s="268"/>
      <c r="D7" s="268"/>
      <c r="E7" s="269"/>
      <c r="F7" s="267" t="s">
        <v>257</v>
      </c>
      <c r="G7" s="268"/>
      <c r="H7" s="268"/>
      <c r="I7" s="270"/>
      <c r="J7" s="267" t="s">
        <v>258</v>
      </c>
      <c r="K7" s="268"/>
      <c r="L7" s="269"/>
      <c r="M7" s="267" t="s">
        <v>259</v>
      </c>
      <c r="N7" s="268"/>
      <c r="O7" s="269"/>
      <c r="P7" s="267" t="s">
        <v>260</v>
      </c>
      <c r="Q7" s="271"/>
      <c r="R7" s="272"/>
      <c r="S7" s="272"/>
      <c r="T7" s="272"/>
      <c r="U7" s="273"/>
      <c r="V7" s="267" t="s">
        <v>261</v>
      </c>
      <c r="W7" s="272"/>
      <c r="X7" s="272"/>
      <c r="Y7" s="273"/>
      <c r="Z7" s="267" t="s">
        <v>262</v>
      </c>
      <c r="AA7" s="268"/>
      <c r="AB7" s="268"/>
      <c r="AC7" s="268"/>
      <c r="AD7" s="269"/>
      <c r="AE7" s="21"/>
    </row>
    <row r="8" spans="1:31" s="285" customFormat="1" ht="12" customHeight="1" thickTop="1">
      <c r="A8" s="280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2"/>
      <c r="Q8" s="282"/>
      <c r="R8" s="282"/>
      <c r="S8" s="282"/>
      <c r="T8" s="282"/>
      <c r="U8" s="282"/>
      <c r="V8" s="283"/>
      <c r="W8" s="283"/>
      <c r="X8" s="283"/>
      <c r="Y8" s="283"/>
      <c r="Z8" s="283"/>
      <c r="AA8" s="283"/>
      <c r="AB8" s="283"/>
      <c r="AC8" s="283"/>
      <c r="AD8" s="283"/>
      <c r="AE8" s="284"/>
    </row>
    <row r="9" spans="1:31" s="285" customFormat="1" ht="12" customHeight="1">
      <c r="A9" s="280"/>
      <c r="B9" s="286" t="s">
        <v>263</v>
      </c>
      <c r="C9" s="286" t="s">
        <v>264</v>
      </c>
      <c r="D9" s="286" t="s">
        <v>265</v>
      </c>
      <c r="E9" s="287" t="s">
        <v>47</v>
      </c>
      <c r="F9" s="286" t="s">
        <v>47</v>
      </c>
      <c r="G9" s="286" t="s">
        <v>265</v>
      </c>
      <c r="H9" s="286" t="s">
        <v>265</v>
      </c>
      <c r="I9" s="286" t="s">
        <v>266</v>
      </c>
      <c r="J9" s="286" t="s">
        <v>267</v>
      </c>
      <c r="K9" s="286" t="s">
        <v>268</v>
      </c>
      <c r="L9" s="286" t="s">
        <v>47</v>
      </c>
      <c r="M9" s="286" t="s">
        <v>265</v>
      </c>
      <c r="N9" s="286" t="s">
        <v>268</v>
      </c>
      <c r="O9" s="286" t="s">
        <v>269</v>
      </c>
      <c r="P9" s="286" t="s">
        <v>47</v>
      </c>
      <c r="Q9" s="286" t="s">
        <v>47</v>
      </c>
      <c r="R9" s="286" t="s">
        <v>45</v>
      </c>
      <c r="S9" s="286" t="s">
        <v>268</v>
      </c>
      <c r="T9" s="286" t="s">
        <v>268</v>
      </c>
      <c r="U9" s="286" t="s">
        <v>270</v>
      </c>
      <c r="V9" s="286" t="s">
        <v>47</v>
      </c>
      <c r="W9" s="286" t="s">
        <v>47</v>
      </c>
      <c r="X9" s="286" t="s">
        <v>263</v>
      </c>
      <c r="Y9" s="286" t="s">
        <v>47</v>
      </c>
      <c r="Z9" s="286" t="s">
        <v>269</v>
      </c>
      <c r="AA9" s="286" t="s">
        <v>271</v>
      </c>
      <c r="AB9" s="286" t="s">
        <v>272</v>
      </c>
      <c r="AC9" s="286" t="s">
        <v>265</v>
      </c>
      <c r="AD9" s="286" t="s">
        <v>266</v>
      </c>
      <c r="AE9" s="284"/>
    </row>
    <row r="10" spans="1:31" s="285" customFormat="1" ht="12" customHeight="1">
      <c r="A10" s="280"/>
      <c r="B10" s="286" t="s">
        <v>273</v>
      </c>
      <c r="C10" s="286" t="s">
        <v>274</v>
      </c>
      <c r="D10" s="286" t="s">
        <v>275</v>
      </c>
      <c r="E10" s="287" t="s">
        <v>276</v>
      </c>
      <c r="F10" s="286" t="s">
        <v>275</v>
      </c>
      <c r="G10" s="286" t="s">
        <v>276</v>
      </c>
      <c r="H10" s="286" t="s">
        <v>275</v>
      </c>
      <c r="I10" s="286" t="s">
        <v>275</v>
      </c>
      <c r="J10" s="286" t="s">
        <v>273</v>
      </c>
      <c r="K10" s="286" t="s">
        <v>275</v>
      </c>
      <c r="L10" s="286" t="s">
        <v>277</v>
      </c>
      <c r="M10" s="286" t="s">
        <v>278</v>
      </c>
      <c r="N10" s="286" t="s">
        <v>275</v>
      </c>
      <c r="O10" s="286" t="s">
        <v>279</v>
      </c>
      <c r="P10" s="286" t="s">
        <v>280</v>
      </c>
      <c r="Q10" s="286" t="s">
        <v>280</v>
      </c>
      <c r="R10" s="286" t="s">
        <v>281</v>
      </c>
      <c r="S10" s="286" t="s">
        <v>282</v>
      </c>
      <c r="T10" s="286" t="s">
        <v>282</v>
      </c>
      <c r="U10" s="286" t="s">
        <v>283</v>
      </c>
      <c r="V10" s="286" t="s">
        <v>280</v>
      </c>
      <c r="W10" s="286" t="s">
        <v>282</v>
      </c>
      <c r="X10" s="286" t="s">
        <v>284</v>
      </c>
      <c r="Y10" s="286" t="s">
        <v>277</v>
      </c>
      <c r="Z10" s="286" t="s">
        <v>275</v>
      </c>
      <c r="AA10" s="286" t="s">
        <v>276</v>
      </c>
      <c r="AB10" s="286" t="s">
        <v>278</v>
      </c>
      <c r="AC10" s="286" t="s">
        <v>285</v>
      </c>
      <c r="AD10" s="286" t="s">
        <v>283</v>
      </c>
      <c r="AE10" s="284"/>
    </row>
    <row r="11" spans="1:31" s="285" customFormat="1" ht="12" customHeight="1">
      <c r="A11" s="280"/>
      <c r="B11" s="286" t="s">
        <v>275</v>
      </c>
      <c r="C11" s="286" t="s">
        <v>286</v>
      </c>
      <c r="D11" s="286" t="s">
        <v>274</v>
      </c>
      <c r="E11" s="287" t="s">
        <v>287</v>
      </c>
      <c r="F11" s="286" t="s">
        <v>278</v>
      </c>
      <c r="G11" s="286" t="s">
        <v>273</v>
      </c>
      <c r="H11" s="286" t="s">
        <v>274</v>
      </c>
      <c r="I11" s="286" t="s">
        <v>280</v>
      </c>
      <c r="J11" s="286" t="s">
        <v>283</v>
      </c>
      <c r="K11" s="286" t="s">
        <v>282</v>
      </c>
      <c r="L11" s="286" t="s">
        <v>276</v>
      </c>
      <c r="M11" s="286" t="s">
        <v>273</v>
      </c>
      <c r="N11" s="286" t="s">
        <v>279</v>
      </c>
      <c r="O11" s="286" t="s">
        <v>276</v>
      </c>
      <c r="P11" s="286" t="s">
        <v>283</v>
      </c>
      <c r="Q11" s="286" t="s">
        <v>283</v>
      </c>
      <c r="R11" s="286" t="s">
        <v>288</v>
      </c>
      <c r="S11" s="286" t="s">
        <v>289</v>
      </c>
      <c r="T11" s="286" t="s">
        <v>289</v>
      </c>
      <c r="U11" s="286" t="s">
        <v>286</v>
      </c>
      <c r="V11" s="286" t="s">
        <v>283</v>
      </c>
      <c r="W11" s="286" t="s">
        <v>276</v>
      </c>
      <c r="X11" s="286" t="s">
        <v>280</v>
      </c>
      <c r="Y11" s="286" t="s">
        <v>279</v>
      </c>
      <c r="Z11" s="286" t="s">
        <v>273</v>
      </c>
      <c r="AA11" s="286" t="s">
        <v>290</v>
      </c>
      <c r="AB11" s="286" t="s">
        <v>283</v>
      </c>
      <c r="AC11" s="286" t="s">
        <v>276</v>
      </c>
      <c r="AD11" s="286" t="s">
        <v>282</v>
      </c>
      <c r="AE11" s="284"/>
    </row>
    <row r="12" spans="1:31" s="285" customFormat="1" ht="12" customHeight="1">
      <c r="A12" s="280"/>
      <c r="B12" s="286" t="s">
        <v>280</v>
      </c>
      <c r="C12" s="286" t="s">
        <v>276</v>
      </c>
      <c r="D12" s="286" t="s">
        <v>286</v>
      </c>
      <c r="E12" s="287" t="s">
        <v>273</v>
      </c>
      <c r="F12" s="286" t="s">
        <v>273</v>
      </c>
      <c r="G12" s="286" t="s">
        <v>286</v>
      </c>
      <c r="H12" s="286" t="s">
        <v>281</v>
      </c>
      <c r="I12" s="286" t="s">
        <v>278</v>
      </c>
      <c r="J12" s="286" t="s">
        <v>281</v>
      </c>
      <c r="K12" s="286" t="s">
        <v>290</v>
      </c>
      <c r="L12" s="286" t="s">
        <v>280</v>
      </c>
      <c r="M12" s="286" t="s">
        <v>282</v>
      </c>
      <c r="N12" s="286" t="s">
        <v>281</v>
      </c>
      <c r="O12" s="286" t="s">
        <v>289</v>
      </c>
      <c r="P12" s="286" t="s">
        <v>279</v>
      </c>
      <c r="Q12" s="286" t="s">
        <v>279</v>
      </c>
      <c r="R12" s="286" t="s">
        <v>282</v>
      </c>
      <c r="S12" s="286" t="s">
        <v>282</v>
      </c>
      <c r="T12" s="286" t="s">
        <v>276</v>
      </c>
      <c r="U12" s="286" t="s">
        <v>280</v>
      </c>
      <c r="V12" s="286" t="s">
        <v>279</v>
      </c>
      <c r="W12" s="286" t="s">
        <v>291</v>
      </c>
      <c r="X12" s="286" t="s">
        <v>274</v>
      </c>
      <c r="Y12" s="286" t="s">
        <v>282</v>
      </c>
      <c r="Z12" s="286" t="s">
        <v>288</v>
      </c>
      <c r="AA12" s="286" t="s">
        <v>286</v>
      </c>
      <c r="AB12" s="286" t="s">
        <v>274</v>
      </c>
      <c r="AC12" s="286" t="s">
        <v>280</v>
      </c>
      <c r="AD12" s="286" t="s">
        <v>279</v>
      </c>
      <c r="AE12" s="284"/>
    </row>
    <row r="13" spans="1:31" s="285" customFormat="1" ht="12" customHeight="1">
      <c r="A13" s="280"/>
      <c r="B13" s="286" t="s">
        <v>276</v>
      </c>
      <c r="C13" s="286" t="s">
        <v>273</v>
      </c>
      <c r="D13" s="286" t="s">
        <v>283</v>
      </c>
      <c r="E13" s="287" t="s">
        <v>276</v>
      </c>
      <c r="F13" s="286" t="s">
        <v>280</v>
      </c>
      <c r="G13" s="286" t="s">
        <v>282</v>
      </c>
      <c r="H13" s="286" t="s">
        <v>282</v>
      </c>
      <c r="I13" s="286" t="s">
        <v>288</v>
      </c>
      <c r="J13" s="286" t="s">
        <v>283</v>
      </c>
      <c r="K13" s="286" t="s">
        <v>286</v>
      </c>
      <c r="L13" s="286" t="s">
        <v>282</v>
      </c>
      <c r="M13" s="286" t="s">
        <v>274</v>
      </c>
      <c r="N13" s="286" t="s">
        <v>290</v>
      </c>
      <c r="O13" s="286" t="s">
        <v>278</v>
      </c>
      <c r="P13" s="286" t="s">
        <v>276</v>
      </c>
      <c r="Q13" s="286" t="s">
        <v>276</v>
      </c>
      <c r="R13" s="286" t="s">
        <v>289</v>
      </c>
      <c r="S13" s="286" t="s">
        <v>274</v>
      </c>
      <c r="T13" s="286" t="s">
        <v>273</v>
      </c>
      <c r="U13" s="286" t="s">
        <v>285</v>
      </c>
      <c r="V13" s="286" t="s">
        <v>276</v>
      </c>
      <c r="W13" s="286" t="s">
        <v>276</v>
      </c>
      <c r="X13" s="286" t="s">
        <v>275</v>
      </c>
      <c r="Y13" s="286" t="s">
        <v>286</v>
      </c>
      <c r="Z13" s="286"/>
      <c r="AA13" s="286"/>
      <c r="AB13" s="286" t="s">
        <v>286</v>
      </c>
      <c r="AC13" s="286" t="s">
        <v>292</v>
      </c>
      <c r="AD13" s="286" t="s">
        <v>284</v>
      </c>
      <c r="AE13" s="284"/>
    </row>
    <row r="14" spans="1:31" s="285" customFormat="1" ht="12" customHeight="1">
      <c r="A14" s="280"/>
      <c r="B14" s="286" t="s">
        <v>281</v>
      </c>
      <c r="C14" s="286" t="s">
        <v>288</v>
      </c>
      <c r="D14" s="286" t="s">
        <v>288</v>
      </c>
      <c r="E14" s="287" t="s">
        <v>287</v>
      </c>
      <c r="F14" s="286" t="s">
        <v>276</v>
      </c>
      <c r="G14" s="286" t="s">
        <v>293</v>
      </c>
      <c r="H14" s="286" t="s">
        <v>286</v>
      </c>
      <c r="I14" s="286" t="s">
        <v>276</v>
      </c>
      <c r="J14" s="286" t="s">
        <v>286</v>
      </c>
      <c r="K14" s="286" t="s">
        <v>278</v>
      </c>
      <c r="L14" s="286" t="s">
        <v>293</v>
      </c>
      <c r="M14" s="286" t="s">
        <v>287</v>
      </c>
      <c r="N14" s="286"/>
      <c r="O14" s="286" t="s">
        <v>273</v>
      </c>
      <c r="P14" s="286"/>
      <c r="Q14" s="286"/>
      <c r="R14" s="286" t="s">
        <v>286</v>
      </c>
      <c r="S14" s="286" t="s">
        <v>287</v>
      </c>
      <c r="T14" s="286"/>
      <c r="U14" s="286"/>
      <c r="V14" s="286" t="s">
        <v>290</v>
      </c>
      <c r="W14" s="286" t="s">
        <v>290</v>
      </c>
      <c r="X14" s="286" t="s">
        <v>288</v>
      </c>
      <c r="Y14" s="286" t="s">
        <v>286</v>
      </c>
      <c r="Z14" s="286" t="s">
        <v>294</v>
      </c>
      <c r="AA14" s="286" t="s">
        <v>295</v>
      </c>
      <c r="AB14" s="286" t="s">
        <v>282</v>
      </c>
      <c r="AC14" s="286" t="s">
        <v>290</v>
      </c>
      <c r="AD14" s="286"/>
      <c r="AE14" s="284"/>
    </row>
    <row r="15" spans="1:31" s="285" customFormat="1" ht="12" customHeight="1">
      <c r="A15" s="280"/>
      <c r="B15" s="286" t="s">
        <v>278</v>
      </c>
      <c r="C15" s="286" t="s">
        <v>282</v>
      </c>
      <c r="D15" s="286" t="s">
        <v>282</v>
      </c>
      <c r="E15" s="287" t="s">
        <v>283</v>
      </c>
      <c r="F15" s="286" t="s">
        <v>290</v>
      </c>
      <c r="G15" s="286" t="s">
        <v>282</v>
      </c>
      <c r="H15" s="286" t="s">
        <v>282</v>
      </c>
      <c r="I15" s="286" t="s">
        <v>274</v>
      </c>
      <c r="J15" s="286" t="s">
        <v>282</v>
      </c>
      <c r="K15" s="286" t="s">
        <v>273</v>
      </c>
      <c r="L15" s="286" t="s">
        <v>282</v>
      </c>
      <c r="M15" s="286"/>
      <c r="N15" s="286"/>
      <c r="O15" s="286" t="s">
        <v>283</v>
      </c>
      <c r="P15" s="286" t="s">
        <v>44</v>
      </c>
      <c r="Q15" s="286" t="s">
        <v>296</v>
      </c>
      <c r="R15" s="286" t="s">
        <v>278</v>
      </c>
      <c r="S15" s="286"/>
      <c r="T15" s="286" t="s">
        <v>295</v>
      </c>
      <c r="U15" s="286" t="s">
        <v>44</v>
      </c>
      <c r="V15" s="286"/>
      <c r="W15" s="286"/>
      <c r="X15" s="286" t="s">
        <v>276</v>
      </c>
      <c r="Y15" s="286" t="s">
        <v>276</v>
      </c>
      <c r="Z15" s="286">
        <v>8</v>
      </c>
      <c r="AA15" s="286" t="s">
        <v>276</v>
      </c>
      <c r="AB15" s="286" t="s">
        <v>286</v>
      </c>
      <c r="AC15" s="286"/>
      <c r="AD15" s="286" t="s">
        <v>266</v>
      </c>
      <c r="AE15" s="284"/>
    </row>
    <row r="16" spans="1:31" s="285" customFormat="1" ht="12" customHeight="1">
      <c r="A16" s="280"/>
      <c r="B16" s="286" t="s">
        <v>273</v>
      </c>
      <c r="C16" s="286" t="s">
        <v>274</v>
      </c>
      <c r="D16" s="286" t="s">
        <v>274</v>
      </c>
      <c r="E16" s="287" t="s">
        <v>286</v>
      </c>
      <c r="F16" s="286"/>
      <c r="G16" s="286" t="s">
        <v>280</v>
      </c>
      <c r="H16" s="286" t="s">
        <v>275</v>
      </c>
      <c r="I16" s="286" t="s">
        <v>286</v>
      </c>
      <c r="J16" s="286" t="s">
        <v>275</v>
      </c>
      <c r="K16" s="286" t="s">
        <v>276</v>
      </c>
      <c r="L16" s="286" t="s">
        <v>280</v>
      </c>
      <c r="M16" s="286"/>
      <c r="N16" s="286"/>
      <c r="O16" s="286" t="s">
        <v>279</v>
      </c>
      <c r="P16" s="286" t="s">
        <v>276</v>
      </c>
      <c r="Q16" s="286" t="s">
        <v>277</v>
      </c>
      <c r="R16" s="286" t="s">
        <v>273</v>
      </c>
      <c r="S16" s="286" t="s">
        <v>271</v>
      </c>
      <c r="T16" s="286" t="s">
        <v>276</v>
      </c>
      <c r="U16" s="286" t="s">
        <v>276</v>
      </c>
      <c r="V16" s="286"/>
      <c r="W16" s="286"/>
      <c r="X16" s="286" t="s">
        <v>286</v>
      </c>
      <c r="Y16" s="286" t="s">
        <v>273</v>
      </c>
      <c r="Z16" s="286">
        <v>0</v>
      </c>
      <c r="AA16" s="286" t="s">
        <v>290</v>
      </c>
      <c r="AB16" s="286" t="s">
        <v>282</v>
      </c>
      <c r="AC16" s="286"/>
      <c r="AD16" s="286" t="s">
        <v>282</v>
      </c>
      <c r="AE16" s="284"/>
    </row>
    <row r="17" spans="1:31" s="285" customFormat="1" ht="12" customHeight="1">
      <c r="A17" s="280"/>
      <c r="B17" s="286" t="s">
        <v>276</v>
      </c>
      <c r="C17" s="286" t="s">
        <v>287</v>
      </c>
      <c r="D17" s="286" t="s">
        <v>283</v>
      </c>
      <c r="E17" s="287" t="s">
        <v>282</v>
      </c>
      <c r="F17" s="286"/>
      <c r="G17" s="286" t="s">
        <v>283</v>
      </c>
      <c r="H17" s="286" t="s">
        <v>274</v>
      </c>
      <c r="I17" s="286" t="s">
        <v>283</v>
      </c>
      <c r="J17" s="286" t="s">
        <v>274</v>
      </c>
      <c r="K17" s="286" t="s">
        <v>290</v>
      </c>
      <c r="L17" s="286"/>
      <c r="M17" s="286"/>
      <c r="N17" s="286"/>
      <c r="O17" s="286"/>
      <c r="P17" s="286" t="s">
        <v>282</v>
      </c>
      <c r="Q17" s="286" t="s">
        <v>276</v>
      </c>
      <c r="R17" s="286" t="s">
        <v>276</v>
      </c>
      <c r="S17" s="286" t="s">
        <v>282</v>
      </c>
      <c r="T17" s="286" t="s">
        <v>291</v>
      </c>
      <c r="U17" s="286" t="s">
        <v>282</v>
      </c>
      <c r="V17" s="286"/>
      <c r="W17" s="286"/>
      <c r="X17" s="286" t="s">
        <v>276</v>
      </c>
      <c r="Y17" s="286" t="s">
        <v>290</v>
      </c>
      <c r="Z17" s="286">
        <v>0</v>
      </c>
      <c r="AA17" s="286" t="s">
        <v>278</v>
      </c>
      <c r="AB17" s="286" t="s">
        <v>276</v>
      </c>
      <c r="AC17" s="286"/>
      <c r="AD17" s="286" t="s">
        <v>283</v>
      </c>
      <c r="AE17" s="284"/>
    </row>
    <row r="18" spans="1:31" s="285" customFormat="1" ht="12" customHeight="1">
      <c r="A18" s="280"/>
      <c r="B18" s="286"/>
      <c r="C18" s="286" t="s">
        <v>279</v>
      </c>
      <c r="D18" s="286" t="s">
        <v>286</v>
      </c>
      <c r="E18" s="287" t="s">
        <v>275</v>
      </c>
      <c r="F18" s="286"/>
      <c r="G18" s="286" t="s">
        <v>286</v>
      </c>
      <c r="H18" s="286"/>
      <c r="I18" s="286" t="s">
        <v>286</v>
      </c>
      <c r="J18" s="286" t="s">
        <v>290</v>
      </c>
      <c r="K18" s="286"/>
      <c r="L18" s="286" t="s">
        <v>267</v>
      </c>
      <c r="M18" s="286"/>
      <c r="N18" s="286"/>
      <c r="O18" s="286" t="s">
        <v>271</v>
      </c>
      <c r="P18" s="286" t="s">
        <v>287</v>
      </c>
      <c r="Q18" s="286" t="s">
        <v>273</v>
      </c>
      <c r="R18" s="286"/>
      <c r="S18" s="286" t="s">
        <v>288</v>
      </c>
      <c r="T18" s="286" t="s">
        <v>275</v>
      </c>
      <c r="U18" s="286" t="s">
        <v>287</v>
      </c>
      <c r="V18" s="286"/>
      <c r="W18" s="286"/>
      <c r="X18" s="286" t="s">
        <v>273</v>
      </c>
      <c r="Y18" s="286"/>
      <c r="Z18" s="286">
        <v>2</v>
      </c>
      <c r="AA18" s="286" t="s">
        <v>279</v>
      </c>
      <c r="AB18" s="286" t="s">
        <v>290</v>
      </c>
      <c r="AC18" s="286"/>
      <c r="AD18" s="286" t="s">
        <v>273</v>
      </c>
      <c r="AE18" s="284"/>
    </row>
    <row r="19" spans="1:31" s="285" customFormat="1" ht="12" customHeight="1">
      <c r="A19" s="280"/>
      <c r="B19" s="286"/>
      <c r="C19" s="286" t="s">
        <v>282</v>
      </c>
      <c r="D19" s="286" t="s">
        <v>282</v>
      </c>
      <c r="E19" s="287" t="s">
        <v>274</v>
      </c>
      <c r="F19" s="286"/>
      <c r="G19" s="286" t="s">
        <v>282</v>
      </c>
      <c r="H19" s="286"/>
      <c r="I19" s="286" t="s">
        <v>282</v>
      </c>
      <c r="J19" s="286"/>
      <c r="K19" s="286"/>
      <c r="L19" s="286" t="s">
        <v>273</v>
      </c>
      <c r="M19" s="286"/>
      <c r="N19" s="286"/>
      <c r="O19" s="286" t="s">
        <v>276</v>
      </c>
      <c r="P19" s="286" t="s">
        <v>285</v>
      </c>
      <c r="Q19" s="286" t="s">
        <v>283</v>
      </c>
      <c r="R19" s="286" t="s">
        <v>266</v>
      </c>
      <c r="S19" s="286" t="s">
        <v>276</v>
      </c>
      <c r="T19" s="286" t="s">
        <v>279</v>
      </c>
      <c r="U19" s="286" t="s">
        <v>285</v>
      </c>
      <c r="V19" s="286"/>
      <c r="W19" s="286"/>
      <c r="X19" s="286" t="s">
        <v>290</v>
      </c>
      <c r="Y19" s="286"/>
      <c r="Z19" s="286">
        <v>4</v>
      </c>
      <c r="AA19" s="286" t="s">
        <v>286</v>
      </c>
      <c r="AB19" s="286"/>
      <c r="AC19" s="286"/>
      <c r="AD19" s="286" t="s">
        <v>284</v>
      </c>
      <c r="AE19" s="284"/>
    </row>
    <row r="20" spans="1:31" s="285" customFormat="1" ht="12" customHeight="1">
      <c r="A20" s="288"/>
      <c r="B20" s="286"/>
      <c r="C20" s="286" t="s">
        <v>274</v>
      </c>
      <c r="D20" s="286" t="s">
        <v>275</v>
      </c>
      <c r="E20" s="287"/>
      <c r="F20" s="286"/>
      <c r="G20" s="286" t="s">
        <v>275</v>
      </c>
      <c r="H20" s="286"/>
      <c r="I20" s="286" t="s">
        <v>275</v>
      </c>
      <c r="J20" s="286"/>
      <c r="K20" s="286"/>
      <c r="L20" s="286" t="s">
        <v>283</v>
      </c>
      <c r="M20" s="286"/>
      <c r="N20" s="286"/>
      <c r="O20" s="286" t="s">
        <v>290</v>
      </c>
      <c r="P20" s="286" t="s">
        <v>286</v>
      </c>
      <c r="Q20" s="286" t="s">
        <v>286</v>
      </c>
      <c r="R20" s="286" t="s">
        <v>282</v>
      </c>
      <c r="S20" s="286"/>
      <c r="T20" s="286" t="s">
        <v>278</v>
      </c>
      <c r="U20" s="286" t="s">
        <v>286</v>
      </c>
      <c r="V20" s="286"/>
      <c r="W20" s="286"/>
      <c r="X20" s="286"/>
      <c r="Y20" s="286"/>
      <c r="Z20" s="286">
        <v>0</v>
      </c>
      <c r="AA20" s="286" t="s">
        <v>290</v>
      </c>
      <c r="AB20" s="286"/>
      <c r="AC20" s="286"/>
      <c r="AD20" s="286"/>
      <c r="AE20" s="284"/>
    </row>
    <row r="21" spans="1:31" s="285" customFormat="1" ht="12" customHeight="1">
      <c r="A21" s="288"/>
      <c r="B21" s="286"/>
      <c r="C21" s="286" t="s">
        <v>287</v>
      </c>
      <c r="D21" s="286" t="s">
        <v>274</v>
      </c>
      <c r="E21" s="287"/>
      <c r="F21" s="286"/>
      <c r="G21" s="286" t="s">
        <v>274</v>
      </c>
      <c r="H21" s="286"/>
      <c r="I21" s="286" t="s">
        <v>274</v>
      </c>
      <c r="J21" s="286"/>
      <c r="K21" s="286"/>
      <c r="L21" s="286" t="s">
        <v>291</v>
      </c>
      <c r="M21" s="286"/>
      <c r="N21" s="286"/>
      <c r="O21" s="286" t="s">
        <v>286</v>
      </c>
      <c r="P21" s="286" t="s">
        <v>290</v>
      </c>
      <c r="Q21" s="286" t="s">
        <v>282</v>
      </c>
      <c r="R21" s="286" t="s">
        <v>290</v>
      </c>
      <c r="S21" s="286"/>
      <c r="T21" s="286" t="s">
        <v>286</v>
      </c>
      <c r="U21" s="286" t="s">
        <v>290</v>
      </c>
      <c r="V21" s="286"/>
      <c r="W21" s="286"/>
      <c r="X21" s="286"/>
      <c r="Y21" s="286"/>
      <c r="Z21" s="286"/>
      <c r="AA21" s="286"/>
      <c r="AB21" s="286"/>
      <c r="AC21" s="286"/>
      <c r="AD21" s="286"/>
      <c r="AE21" s="284"/>
    </row>
    <row r="22" spans="1:31" s="285" customFormat="1" ht="12" customHeight="1">
      <c r="A22" s="288"/>
      <c r="B22" s="286"/>
      <c r="C22" s="286"/>
      <c r="D22" s="286"/>
      <c r="E22" s="287"/>
      <c r="F22" s="286"/>
      <c r="G22" s="286" t="s">
        <v>290</v>
      </c>
      <c r="H22" s="286"/>
      <c r="I22" s="286"/>
      <c r="J22" s="286"/>
      <c r="K22" s="286"/>
      <c r="L22" s="286" t="s">
        <v>297</v>
      </c>
      <c r="M22" s="286"/>
      <c r="N22" s="286"/>
      <c r="O22" s="286"/>
      <c r="P22" s="286"/>
      <c r="Q22" s="286" t="s">
        <v>275</v>
      </c>
      <c r="R22" s="286" t="s">
        <v>277</v>
      </c>
      <c r="S22" s="286"/>
      <c r="T22" s="286" t="s">
        <v>297</v>
      </c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4"/>
    </row>
    <row r="23" spans="1:31" s="285" customFormat="1" ht="12" customHeight="1">
      <c r="A23" s="289"/>
      <c r="B23" s="286"/>
      <c r="C23" s="286"/>
      <c r="D23" s="286"/>
      <c r="E23" s="286"/>
      <c r="F23" s="286"/>
      <c r="G23" s="286"/>
      <c r="H23" s="286"/>
      <c r="I23" s="281"/>
      <c r="J23" s="281"/>
      <c r="K23" s="281"/>
      <c r="L23" s="281"/>
      <c r="M23" s="281"/>
      <c r="N23" s="281"/>
      <c r="O23" s="281"/>
      <c r="P23" s="286"/>
      <c r="Q23" s="286" t="s">
        <v>274</v>
      </c>
      <c r="R23" s="286" t="s">
        <v>297</v>
      </c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4"/>
    </row>
    <row r="24" spans="1:31">
      <c r="A24" s="274" t="s">
        <v>298</v>
      </c>
      <c r="B24" s="275"/>
      <c r="C24" s="275"/>
      <c r="D24" s="275"/>
      <c r="E24" s="275"/>
      <c r="F24" s="275"/>
      <c r="G24" s="275"/>
      <c r="H24" s="275"/>
      <c r="I24" s="276"/>
      <c r="J24" s="276"/>
      <c r="K24" s="276"/>
      <c r="L24" s="276"/>
      <c r="M24" s="276"/>
      <c r="N24" s="276"/>
      <c r="O24" s="276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8" t="s">
        <v>299</v>
      </c>
    </row>
    <row r="25" spans="1:31" ht="24.95" customHeight="1">
      <c r="A25" s="468"/>
      <c r="B25" s="469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/>
      <c r="V25" s="469"/>
      <c r="W25" s="469"/>
      <c r="X25" s="469"/>
      <c r="Y25" s="469"/>
      <c r="Z25" s="469"/>
      <c r="AA25" s="469"/>
      <c r="AB25" s="469"/>
      <c r="AC25" s="469"/>
      <c r="AD25" s="469"/>
      <c r="AE25" s="469"/>
    </row>
    <row r="26" spans="1:31" ht="24.95" customHeight="1">
      <c r="A26" s="468"/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</row>
    <row r="27" spans="1:31" ht="24.95" customHeight="1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</row>
    <row r="28" spans="1:31" ht="24.95" customHeight="1">
      <c r="A28" s="468"/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</row>
    <row r="29" spans="1:31" ht="24.95" customHeight="1">
      <c r="A29" s="468"/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</row>
    <row r="30" spans="1:31" ht="24.95" customHeight="1">
      <c r="A30" s="468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</row>
    <row r="31" spans="1:31" ht="24.95" customHeight="1">
      <c r="A31" s="468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</row>
    <row r="32" spans="1:31" ht="24.95" customHeight="1">
      <c r="A32" s="468"/>
      <c r="B32" s="469"/>
      <c r="C32" s="469"/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</row>
    <row r="33" spans="1:31" ht="24.95" customHeight="1">
      <c r="A33" s="468"/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</row>
    <row r="34" spans="1:31" ht="24.95" customHeight="1">
      <c r="A34" s="468"/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</row>
    <row r="35" spans="1:31" ht="24.95" customHeight="1">
      <c r="A35" s="468"/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</row>
    <row r="36" spans="1:31" ht="24.95" customHeight="1">
      <c r="A36" s="468"/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</row>
    <row r="37" spans="1:31" ht="24.95" customHeight="1">
      <c r="A37" s="468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</row>
    <row r="38" spans="1:31" ht="24.95" customHeight="1">
      <c r="A38" s="468"/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69"/>
      <c r="T38" s="469"/>
      <c r="U38" s="469"/>
      <c r="V38" s="469"/>
      <c r="W38" s="469"/>
      <c r="X38" s="469"/>
      <c r="Y38" s="469"/>
      <c r="Z38" s="469"/>
      <c r="AA38" s="469"/>
      <c r="AB38" s="469"/>
      <c r="AC38" s="469"/>
      <c r="AD38" s="469"/>
      <c r="AE38" s="469"/>
    </row>
    <row r="39" spans="1:31" ht="24.95" customHeight="1">
      <c r="A39" s="468"/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</row>
    <row r="40" spans="1:31" ht="24.95" customHeight="1">
      <c r="A40" s="468"/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</row>
    <row r="41" spans="1:31" ht="17.100000000000001" customHeight="1">
      <c r="A41" s="232" t="s">
        <v>300</v>
      </c>
      <c r="B41" s="232"/>
      <c r="C41" s="278" t="s">
        <v>301</v>
      </c>
      <c r="D41" s="278" t="s">
        <v>302</v>
      </c>
      <c r="E41" s="279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17.100000000000001" customHeight="1">
      <c r="A42" s="232" t="s">
        <v>303</v>
      </c>
      <c r="B42" s="279"/>
      <c r="C42" s="278" t="s">
        <v>301</v>
      </c>
      <c r="D42" s="278" t="s">
        <v>266</v>
      </c>
      <c r="E42" s="279"/>
      <c r="F42" s="21"/>
      <c r="G42" s="21"/>
      <c r="H42" s="21"/>
      <c r="I42" s="21"/>
      <c r="J42" s="21"/>
      <c r="K42" s="21"/>
      <c r="L42" s="21"/>
      <c r="M42" s="252" t="s">
        <v>304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17.100000000000001" customHeight="1">
      <c r="A43" s="232" t="s">
        <v>305</v>
      </c>
      <c r="B43" s="279"/>
      <c r="C43" s="278" t="s">
        <v>301</v>
      </c>
      <c r="D43" s="278" t="s">
        <v>104</v>
      </c>
      <c r="E43" s="279"/>
      <c r="F43" s="21"/>
      <c r="G43" s="21"/>
      <c r="H43" s="21"/>
      <c r="I43" s="21"/>
      <c r="J43" s="21"/>
      <c r="K43" s="252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</sheetData>
  <sheetProtection sheet="1" objects="1" scenarios="1"/>
  <phoneticPr fontId="47" type="noConversion"/>
  <pageMargins left="0.75" right="0.75" top="1" bottom="1" header="0.5" footer="0.5"/>
  <pageSetup scale="61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6961-C7C4-44ED-BCF3-A44CF0E0A846}">
  <sheetPr>
    <pageSetUpPr fitToPage="1"/>
  </sheetPr>
  <dimension ref="A1:N44"/>
  <sheetViews>
    <sheetView view="pageBreakPreview" zoomScaleNormal="75" zoomScaleSheetLayoutView="100" workbookViewId="0">
      <selection activeCell="P11" sqref="P11"/>
    </sheetView>
  </sheetViews>
  <sheetFormatPr defaultRowHeight="15"/>
  <cols>
    <col min="2" max="5" width="4.77734375" customWidth="1"/>
    <col min="6" max="6" width="6.77734375" customWidth="1"/>
    <col min="7" max="8" width="5.77734375" customWidth="1"/>
    <col min="10" max="13" width="4.77734375" customWidth="1"/>
    <col min="14" max="14" width="6.77734375" customWidth="1"/>
  </cols>
  <sheetData>
    <row r="1" spans="1:14">
      <c r="A1" s="327" t="s">
        <v>226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8" t="s">
        <v>529</v>
      </c>
    </row>
    <row r="2" spans="1:14">
      <c r="A2" s="337" t="s">
        <v>533</v>
      </c>
      <c r="B2" s="448"/>
      <c r="C2" s="448"/>
      <c r="D2" s="448"/>
      <c r="E2" s="337"/>
      <c r="F2" s="337"/>
      <c r="G2" s="448"/>
      <c r="H2" s="448"/>
      <c r="I2" s="337"/>
      <c r="J2" s="337"/>
      <c r="K2" s="337"/>
      <c r="L2" s="448"/>
      <c r="M2" s="448"/>
      <c r="N2" s="448"/>
    </row>
    <row r="3" spans="1:14">
      <c r="A3" s="255"/>
      <c r="B3" s="449"/>
      <c r="C3" s="449"/>
      <c r="D3" s="615"/>
      <c r="E3" s="615"/>
      <c r="F3" s="615"/>
      <c r="G3" s="615"/>
      <c r="H3" s="615"/>
      <c r="I3" s="446"/>
      <c r="J3" s="306" t="s">
        <v>252</v>
      </c>
      <c r="K3" s="461"/>
      <c r="L3" s="461"/>
      <c r="M3" s="471"/>
      <c r="N3" s="446"/>
    </row>
    <row r="4" spans="1:14">
      <c r="A4" s="616" t="s">
        <v>18</v>
      </c>
      <c r="B4" s="243">
        <f>'Proj Info'!B4</f>
        <v>0</v>
      </c>
      <c r="C4" s="243"/>
      <c r="D4" s="243"/>
      <c r="E4" s="243"/>
      <c r="F4" s="243"/>
      <c r="G4" s="292"/>
      <c r="I4" s="446"/>
      <c r="J4" s="306" t="s">
        <v>230</v>
      </c>
      <c r="K4" s="243">
        <f>'Proj Info'!B11</f>
        <v>0</v>
      </c>
      <c r="L4" s="243"/>
      <c r="M4" s="243"/>
      <c r="N4" s="446"/>
    </row>
    <row r="5" spans="1:14" ht="12" customHeight="1">
      <c r="A5" s="449"/>
      <c r="B5" s="449"/>
      <c r="C5" s="449"/>
      <c r="D5" s="449"/>
      <c r="E5" s="449"/>
      <c r="F5" s="449"/>
      <c r="G5" s="449"/>
      <c r="H5" s="449"/>
      <c r="I5" s="255"/>
      <c r="J5" s="255"/>
      <c r="K5" s="255"/>
      <c r="L5" s="255"/>
      <c r="M5" s="255"/>
      <c r="N5" s="255"/>
    </row>
    <row r="6" spans="1:14" ht="12" customHeight="1" thickBot="1">
      <c r="A6" s="449"/>
      <c r="B6" s="617" t="s">
        <v>530</v>
      </c>
      <c r="C6" s="618"/>
      <c r="D6" s="618"/>
      <c r="E6" s="619"/>
      <c r="F6" s="616"/>
      <c r="G6" s="337"/>
      <c r="H6" s="337"/>
      <c r="I6" s="449"/>
      <c r="J6" s="617" t="s">
        <v>531</v>
      </c>
      <c r="K6" s="618"/>
      <c r="L6" s="618"/>
      <c r="M6" s="619"/>
      <c r="N6" s="616"/>
    </row>
    <row r="7" spans="1:14" ht="12" customHeight="1" thickTop="1">
      <c r="A7" s="620"/>
      <c r="B7" s="621"/>
      <c r="C7" s="621"/>
      <c r="D7" s="621"/>
      <c r="E7" s="621"/>
      <c r="F7" s="620"/>
      <c r="G7" s="620"/>
      <c r="H7" s="620"/>
      <c r="I7" s="620"/>
      <c r="J7" s="621"/>
      <c r="K7" s="621"/>
      <c r="L7" s="621"/>
      <c r="M7" s="621"/>
      <c r="N7" s="620"/>
    </row>
    <row r="8" spans="1:14" ht="12" customHeight="1">
      <c r="A8" s="620"/>
      <c r="B8" s="621" t="s">
        <v>270</v>
      </c>
      <c r="C8" s="621" t="s">
        <v>32</v>
      </c>
      <c r="D8" s="621" t="s">
        <v>44</v>
      </c>
      <c r="E8" s="621" t="s">
        <v>267</v>
      </c>
      <c r="F8" s="620"/>
      <c r="G8" s="622"/>
      <c r="H8" s="622"/>
      <c r="I8" s="620"/>
      <c r="J8" s="621" t="s">
        <v>270</v>
      </c>
      <c r="K8" s="621" t="s">
        <v>32</v>
      </c>
      <c r="L8" s="621" t="s">
        <v>44</v>
      </c>
      <c r="M8" s="621" t="s">
        <v>267</v>
      </c>
      <c r="N8" s="620"/>
    </row>
    <row r="9" spans="1:14" ht="12" customHeight="1">
      <c r="A9" s="620"/>
      <c r="B9" s="621" t="s">
        <v>283</v>
      </c>
      <c r="C9" s="621"/>
      <c r="D9" s="621" t="s">
        <v>283</v>
      </c>
      <c r="E9" s="621" t="s">
        <v>273</v>
      </c>
      <c r="F9" s="620"/>
      <c r="G9" s="620"/>
      <c r="H9" s="620"/>
      <c r="I9" s="620"/>
      <c r="J9" s="621" t="s">
        <v>283</v>
      </c>
      <c r="K9" s="621"/>
      <c r="L9" s="621" t="s">
        <v>283</v>
      </c>
      <c r="M9" s="621" t="s">
        <v>273</v>
      </c>
      <c r="N9" s="620"/>
    </row>
    <row r="10" spans="1:14" ht="12" customHeight="1">
      <c r="A10" s="620"/>
      <c r="B10" s="621" t="s">
        <v>286</v>
      </c>
      <c r="C10" s="621" t="s">
        <v>269</v>
      </c>
      <c r="D10" s="621" t="s">
        <v>286</v>
      </c>
      <c r="E10" s="621" t="s">
        <v>283</v>
      </c>
      <c r="F10" s="620"/>
      <c r="G10" s="620"/>
      <c r="H10" s="620"/>
      <c r="I10" s="620"/>
      <c r="J10" s="621" t="s">
        <v>286</v>
      </c>
      <c r="K10" s="621" t="s">
        <v>269</v>
      </c>
      <c r="L10" s="621" t="s">
        <v>286</v>
      </c>
      <c r="M10" s="621" t="s">
        <v>283</v>
      </c>
      <c r="N10" s="620"/>
    </row>
    <row r="11" spans="1:14" ht="12" customHeight="1">
      <c r="A11" s="620"/>
      <c r="B11" s="621" t="s">
        <v>280</v>
      </c>
      <c r="C11" s="621" t="s">
        <v>279</v>
      </c>
      <c r="D11" s="621" t="s">
        <v>276</v>
      </c>
      <c r="E11" s="621" t="s">
        <v>281</v>
      </c>
      <c r="F11" s="620"/>
      <c r="G11" s="620"/>
      <c r="H11" s="620"/>
      <c r="I11" s="620"/>
      <c r="J11" s="621" t="s">
        <v>280</v>
      </c>
      <c r="K11" s="621" t="s">
        <v>279</v>
      </c>
      <c r="L11" s="621" t="s">
        <v>276</v>
      </c>
      <c r="M11" s="621" t="s">
        <v>281</v>
      </c>
      <c r="N11" s="620"/>
    </row>
    <row r="12" spans="1:14" ht="12" customHeight="1">
      <c r="A12" s="620"/>
      <c r="B12" s="621" t="s">
        <v>285</v>
      </c>
      <c r="C12" s="621" t="s">
        <v>284</v>
      </c>
      <c r="D12" s="621" t="s">
        <v>273</v>
      </c>
      <c r="E12" s="621" t="s">
        <v>283</v>
      </c>
      <c r="F12" s="620"/>
      <c r="G12" s="620"/>
      <c r="H12" s="620"/>
      <c r="I12" s="620"/>
      <c r="J12" s="621" t="s">
        <v>285</v>
      </c>
      <c r="K12" s="621" t="s">
        <v>284</v>
      </c>
      <c r="L12" s="621" t="s">
        <v>273</v>
      </c>
      <c r="M12" s="621" t="s">
        <v>283</v>
      </c>
      <c r="N12" s="620"/>
    </row>
    <row r="13" spans="1:14" ht="12" customHeight="1">
      <c r="A13" s="620"/>
      <c r="B13" s="621" t="s">
        <v>405</v>
      </c>
      <c r="C13" s="621"/>
      <c r="D13" s="621"/>
      <c r="E13" s="621" t="s">
        <v>286</v>
      </c>
      <c r="F13" s="620"/>
      <c r="G13" s="620"/>
      <c r="H13" s="620"/>
      <c r="I13" s="620"/>
      <c r="J13" s="621" t="s">
        <v>405</v>
      </c>
      <c r="K13" s="621"/>
      <c r="L13" s="621"/>
      <c r="M13" s="621" t="s">
        <v>286</v>
      </c>
      <c r="N13" s="620"/>
    </row>
    <row r="14" spans="1:14" ht="12" customHeight="1">
      <c r="A14" s="620"/>
      <c r="B14" s="621"/>
      <c r="C14" s="621" t="s">
        <v>45</v>
      </c>
      <c r="D14" s="621" t="s">
        <v>532</v>
      </c>
      <c r="E14" s="621" t="s">
        <v>282</v>
      </c>
      <c r="F14" s="620"/>
      <c r="G14" s="620"/>
      <c r="H14" s="620"/>
      <c r="I14" s="620"/>
      <c r="J14" s="621"/>
      <c r="K14" s="621" t="s">
        <v>45</v>
      </c>
      <c r="L14" s="621" t="s">
        <v>532</v>
      </c>
      <c r="M14" s="621" t="s">
        <v>282</v>
      </c>
      <c r="N14" s="620"/>
    </row>
    <row r="15" spans="1:14" ht="12" customHeight="1">
      <c r="A15" s="620"/>
      <c r="B15" s="621" t="s">
        <v>44</v>
      </c>
      <c r="C15" s="621" t="s">
        <v>290</v>
      </c>
      <c r="D15" s="621"/>
      <c r="E15" s="621" t="s">
        <v>275</v>
      </c>
      <c r="F15" s="620"/>
      <c r="G15" s="620"/>
      <c r="H15" s="620"/>
      <c r="I15" s="620"/>
      <c r="J15" s="621" t="s">
        <v>44</v>
      </c>
      <c r="K15" s="621" t="s">
        <v>290</v>
      </c>
      <c r="L15" s="621"/>
      <c r="M15" s="621" t="s">
        <v>275</v>
      </c>
      <c r="N15" s="620"/>
    </row>
    <row r="16" spans="1:14" ht="12" customHeight="1">
      <c r="A16" s="620"/>
      <c r="B16" s="621" t="s">
        <v>276</v>
      </c>
      <c r="C16" s="621" t="s">
        <v>285</v>
      </c>
      <c r="D16" s="621" t="s">
        <v>265</v>
      </c>
      <c r="E16" s="621" t="s">
        <v>274</v>
      </c>
      <c r="F16" s="620"/>
      <c r="G16" s="620"/>
      <c r="H16" s="620"/>
      <c r="I16" s="620"/>
      <c r="J16" s="621" t="s">
        <v>276</v>
      </c>
      <c r="K16" s="621" t="s">
        <v>285</v>
      </c>
      <c r="L16" s="621" t="s">
        <v>265</v>
      </c>
      <c r="M16" s="621" t="s">
        <v>274</v>
      </c>
      <c r="N16" s="620"/>
    </row>
    <row r="17" spans="1:14" ht="12" customHeight="1">
      <c r="A17" s="620"/>
      <c r="B17" s="621" t="s">
        <v>282</v>
      </c>
      <c r="C17" s="621"/>
      <c r="D17" s="621" t="s">
        <v>276</v>
      </c>
      <c r="E17" s="621" t="s">
        <v>290</v>
      </c>
      <c r="F17" s="620"/>
      <c r="G17" s="620"/>
      <c r="H17" s="620"/>
      <c r="I17" s="620"/>
      <c r="J17" s="621" t="s">
        <v>282</v>
      </c>
      <c r="K17" s="621"/>
      <c r="L17" s="621" t="s">
        <v>276</v>
      </c>
      <c r="M17" s="621" t="s">
        <v>290</v>
      </c>
      <c r="N17" s="620"/>
    </row>
    <row r="18" spans="1:14" ht="12" customHeight="1">
      <c r="A18" s="620"/>
      <c r="B18" s="621" t="s">
        <v>287</v>
      </c>
      <c r="C18" s="621"/>
      <c r="D18" s="621" t="s">
        <v>288</v>
      </c>
      <c r="E18" s="621"/>
      <c r="F18" s="620"/>
      <c r="G18" s="620"/>
      <c r="H18" s="620"/>
      <c r="I18" s="620"/>
      <c r="J18" s="621" t="s">
        <v>287</v>
      </c>
      <c r="K18" s="621"/>
      <c r="L18" s="621" t="s">
        <v>288</v>
      </c>
      <c r="M18" s="621"/>
      <c r="N18" s="620"/>
    </row>
    <row r="19" spans="1:14" ht="12" customHeight="1">
      <c r="A19" s="620"/>
      <c r="B19" s="621" t="s">
        <v>285</v>
      </c>
      <c r="C19" s="621"/>
      <c r="D19" s="621" t="s">
        <v>276</v>
      </c>
      <c r="E19" s="621"/>
      <c r="F19" s="620"/>
      <c r="G19" s="620"/>
      <c r="H19" s="620"/>
      <c r="I19" s="620"/>
      <c r="J19" s="621" t="s">
        <v>285</v>
      </c>
      <c r="K19" s="621"/>
      <c r="L19" s="621" t="s">
        <v>276</v>
      </c>
      <c r="M19" s="621"/>
      <c r="N19" s="620"/>
    </row>
    <row r="20" spans="1:14" ht="12" customHeight="1">
      <c r="A20" s="620"/>
      <c r="B20" s="621" t="s">
        <v>286</v>
      </c>
      <c r="C20" s="621"/>
      <c r="D20" s="621" t="s">
        <v>274</v>
      </c>
      <c r="E20" s="621"/>
      <c r="F20" s="620"/>
      <c r="G20" s="620"/>
      <c r="H20" s="620"/>
      <c r="I20" s="620"/>
      <c r="J20" s="621" t="s">
        <v>286</v>
      </c>
      <c r="K20" s="621"/>
      <c r="L20" s="621" t="s">
        <v>274</v>
      </c>
      <c r="M20" s="621"/>
      <c r="N20" s="620"/>
    </row>
    <row r="21" spans="1:14" ht="12" customHeight="1">
      <c r="A21" s="620"/>
      <c r="B21" s="621" t="s">
        <v>290</v>
      </c>
      <c r="C21" s="621"/>
      <c r="D21" s="621" t="s">
        <v>286</v>
      </c>
      <c r="E21" s="621"/>
      <c r="F21" s="620"/>
      <c r="G21" s="620"/>
      <c r="H21" s="620"/>
      <c r="I21" s="620"/>
      <c r="J21" s="621" t="s">
        <v>290</v>
      </c>
      <c r="K21" s="621"/>
      <c r="L21" s="621" t="s">
        <v>286</v>
      </c>
      <c r="M21" s="621"/>
      <c r="N21" s="620"/>
    </row>
    <row r="22" spans="1:14">
      <c r="A22" s="623" t="s">
        <v>298</v>
      </c>
      <c r="B22" s="624"/>
      <c r="C22" s="624"/>
      <c r="D22" s="624"/>
      <c r="E22" s="624"/>
      <c r="F22" s="623" t="s">
        <v>299</v>
      </c>
      <c r="G22" s="623"/>
      <c r="H22" s="623"/>
      <c r="I22" s="623" t="s">
        <v>298</v>
      </c>
      <c r="J22" s="624"/>
      <c r="K22" s="624"/>
      <c r="L22" s="624"/>
      <c r="M22" s="624"/>
      <c r="N22" s="623" t="s">
        <v>299</v>
      </c>
    </row>
    <row r="23" spans="1:14" ht="24.95" customHeight="1">
      <c r="A23" s="468"/>
      <c r="B23" s="469"/>
      <c r="C23" s="469"/>
      <c r="D23" s="469"/>
      <c r="E23" s="469"/>
      <c r="F23" s="469"/>
      <c r="G23" s="625"/>
      <c r="H23" s="625"/>
      <c r="I23" s="468"/>
      <c r="J23" s="469"/>
      <c r="K23" s="469"/>
      <c r="L23" s="469"/>
      <c r="M23" s="469"/>
      <c r="N23" s="469"/>
    </row>
    <row r="24" spans="1:14" ht="24.95" customHeight="1">
      <c r="A24" s="468"/>
      <c r="B24" s="469"/>
      <c r="C24" s="469"/>
      <c r="D24" s="469"/>
      <c r="E24" s="469"/>
      <c r="F24" s="469"/>
      <c r="G24" s="625"/>
      <c r="H24" s="625"/>
      <c r="I24" s="468"/>
      <c r="J24" s="469"/>
      <c r="K24" s="469"/>
      <c r="L24" s="469"/>
      <c r="M24" s="469"/>
      <c r="N24" s="469"/>
    </row>
    <row r="25" spans="1:14" ht="24.95" customHeight="1">
      <c r="A25" s="468"/>
      <c r="B25" s="469"/>
      <c r="C25" s="469"/>
      <c r="D25" s="469"/>
      <c r="E25" s="469"/>
      <c r="F25" s="469"/>
      <c r="G25" s="625"/>
      <c r="H25" s="625"/>
      <c r="I25" s="468"/>
      <c r="J25" s="469"/>
      <c r="K25" s="469"/>
      <c r="L25" s="469"/>
      <c r="M25" s="469"/>
      <c r="N25" s="469"/>
    </row>
    <row r="26" spans="1:14" ht="24.95" customHeight="1">
      <c r="A26" s="468"/>
      <c r="B26" s="469"/>
      <c r="C26" s="469"/>
      <c r="D26" s="469"/>
      <c r="E26" s="469"/>
      <c r="F26" s="469"/>
      <c r="G26" s="625"/>
      <c r="H26" s="625"/>
      <c r="I26" s="468"/>
      <c r="J26" s="469"/>
      <c r="K26" s="469"/>
      <c r="L26" s="469"/>
      <c r="M26" s="469"/>
      <c r="N26" s="469"/>
    </row>
    <row r="27" spans="1:14" ht="24.95" customHeight="1">
      <c r="A27" s="468"/>
      <c r="B27" s="469"/>
      <c r="C27" s="469"/>
      <c r="D27" s="469"/>
      <c r="E27" s="469"/>
      <c r="F27" s="469"/>
      <c r="G27" s="625"/>
      <c r="H27" s="625"/>
      <c r="I27" s="468"/>
      <c r="J27" s="469"/>
      <c r="K27" s="469"/>
      <c r="L27" s="469"/>
      <c r="M27" s="469"/>
      <c r="N27" s="469"/>
    </row>
    <row r="28" spans="1:14" ht="24.95" customHeight="1">
      <c r="A28" s="468"/>
      <c r="B28" s="469"/>
      <c r="C28" s="469"/>
      <c r="D28" s="469"/>
      <c r="E28" s="469"/>
      <c r="F28" s="469"/>
      <c r="G28" s="625"/>
      <c r="H28" s="625"/>
      <c r="I28" s="468"/>
      <c r="J28" s="469"/>
      <c r="K28" s="469"/>
      <c r="L28" s="469"/>
      <c r="M28" s="469"/>
      <c r="N28" s="469"/>
    </row>
    <row r="29" spans="1:14" ht="24.95" customHeight="1">
      <c r="A29" s="468"/>
      <c r="B29" s="469"/>
      <c r="C29" s="469"/>
      <c r="D29" s="469"/>
      <c r="E29" s="469"/>
      <c r="F29" s="469"/>
      <c r="G29" s="625"/>
      <c r="H29" s="625"/>
      <c r="I29" s="468"/>
      <c r="J29" s="469"/>
      <c r="K29" s="469"/>
      <c r="L29" s="469"/>
      <c r="M29" s="469"/>
      <c r="N29" s="469"/>
    </row>
    <row r="30" spans="1:14" ht="24.95" customHeight="1">
      <c r="A30" s="468"/>
      <c r="B30" s="469"/>
      <c r="C30" s="469"/>
      <c r="D30" s="469"/>
      <c r="E30" s="469"/>
      <c r="F30" s="469"/>
      <c r="G30" s="625"/>
      <c r="H30" s="625"/>
      <c r="I30" s="468"/>
      <c r="J30" s="469"/>
      <c r="K30" s="469"/>
      <c r="L30" s="469"/>
      <c r="M30" s="469"/>
      <c r="N30" s="469"/>
    </row>
    <row r="31" spans="1:14" ht="24.95" customHeight="1">
      <c r="A31" s="468"/>
      <c r="B31" s="469"/>
      <c r="C31" s="469"/>
      <c r="D31" s="469"/>
      <c r="E31" s="469"/>
      <c r="F31" s="469"/>
      <c r="G31" s="625"/>
      <c r="H31" s="625"/>
      <c r="I31" s="468"/>
      <c r="J31" s="469"/>
      <c r="K31" s="469"/>
      <c r="L31" s="469"/>
      <c r="M31" s="469"/>
      <c r="N31" s="469"/>
    </row>
    <row r="32" spans="1:14" ht="24.95" customHeight="1">
      <c r="A32" s="468"/>
      <c r="B32" s="469"/>
      <c r="C32" s="469"/>
      <c r="D32" s="469"/>
      <c r="E32" s="469"/>
      <c r="F32" s="469"/>
      <c r="G32" s="625"/>
      <c r="H32" s="625"/>
      <c r="I32" s="468"/>
      <c r="J32" s="469"/>
      <c r="K32" s="469"/>
      <c r="L32" s="469"/>
      <c r="M32" s="469"/>
      <c r="N32" s="469"/>
    </row>
    <row r="33" spans="1:14" ht="24.95" customHeight="1">
      <c r="A33" s="468"/>
      <c r="B33" s="469"/>
      <c r="C33" s="469"/>
      <c r="D33" s="469"/>
      <c r="E33" s="469"/>
      <c r="F33" s="469"/>
      <c r="G33" s="625"/>
      <c r="H33" s="625"/>
      <c r="I33" s="468"/>
      <c r="J33" s="469"/>
      <c r="K33" s="469"/>
      <c r="L33" s="469"/>
      <c r="M33" s="469"/>
      <c r="N33" s="469"/>
    </row>
    <row r="34" spans="1:14" ht="24.95" customHeight="1">
      <c r="A34" s="468"/>
      <c r="B34" s="469"/>
      <c r="C34" s="469"/>
      <c r="D34" s="469"/>
      <c r="E34" s="469"/>
      <c r="F34" s="469"/>
      <c r="G34" s="625"/>
      <c r="H34" s="625"/>
      <c r="I34" s="468"/>
      <c r="J34" s="469"/>
      <c r="K34" s="469"/>
      <c r="L34" s="469"/>
      <c r="M34" s="469"/>
      <c r="N34" s="469"/>
    </row>
    <row r="35" spans="1:14" ht="24.95" customHeight="1">
      <c r="A35" s="468"/>
      <c r="B35" s="469"/>
      <c r="C35" s="469"/>
      <c r="D35" s="469"/>
      <c r="E35" s="469"/>
      <c r="F35" s="469"/>
      <c r="G35" s="625"/>
      <c r="H35" s="625"/>
      <c r="I35" s="468"/>
      <c r="J35" s="469"/>
      <c r="K35" s="469"/>
      <c r="L35" s="469"/>
      <c r="M35" s="469"/>
      <c r="N35" s="469"/>
    </row>
    <row r="36" spans="1:14" ht="24.95" customHeight="1">
      <c r="A36" s="468"/>
      <c r="B36" s="469"/>
      <c r="C36" s="469"/>
      <c r="D36" s="469"/>
      <c r="E36" s="469"/>
      <c r="F36" s="469"/>
      <c r="G36" s="625"/>
      <c r="H36" s="625"/>
      <c r="I36" s="468"/>
      <c r="J36" s="469"/>
      <c r="K36" s="469"/>
      <c r="L36" s="469"/>
      <c r="M36" s="469"/>
      <c r="N36" s="469"/>
    </row>
    <row r="37" spans="1:14" ht="24.95" customHeight="1">
      <c r="A37" s="468"/>
      <c r="B37" s="469"/>
      <c r="C37" s="469"/>
      <c r="D37" s="469"/>
      <c r="E37" s="469"/>
      <c r="F37" s="469"/>
      <c r="G37" s="625"/>
      <c r="H37" s="625"/>
      <c r="I37" s="468"/>
      <c r="J37" s="469"/>
      <c r="K37" s="469"/>
      <c r="L37" s="469"/>
      <c r="M37" s="469"/>
      <c r="N37" s="469"/>
    </row>
    <row r="38" spans="1:14" ht="24.95" customHeight="1">
      <c r="A38" s="468"/>
      <c r="B38" s="469"/>
      <c r="C38" s="469"/>
      <c r="D38" s="469"/>
      <c r="E38" s="469"/>
      <c r="F38" s="469"/>
      <c r="G38" s="625"/>
      <c r="H38" s="625"/>
      <c r="I38" s="468"/>
      <c r="J38" s="469"/>
      <c r="K38" s="469"/>
      <c r="L38" s="469"/>
      <c r="M38" s="469"/>
      <c r="N38" s="469"/>
    </row>
    <row r="39" spans="1:14" ht="24.95" customHeight="1">
      <c r="A39" s="468"/>
      <c r="B39" s="469"/>
      <c r="C39" s="469"/>
      <c r="D39" s="469"/>
      <c r="E39" s="469"/>
      <c r="F39" s="469"/>
      <c r="G39" s="625"/>
      <c r="H39" s="625"/>
      <c r="I39" s="468"/>
      <c r="J39" s="469"/>
      <c r="K39" s="469"/>
      <c r="L39" s="469"/>
      <c r="M39" s="469"/>
      <c r="N39" s="469"/>
    </row>
    <row r="40" spans="1:14" ht="24.95" customHeight="1">
      <c r="A40" s="468"/>
      <c r="B40" s="469"/>
      <c r="C40" s="469"/>
      <c r="D40" s="469"/>
      <c r="E40" s="469"/>
      <c r="F40" s="469"/>
      <c r="G40" s="625"/>
      <c r="H40" s="625"/>
      <c r="I40" s="468"/>
      <c r="J40" s="469"/>
      <c r="K40" s="469"/>
      <c r="L40" s="469"/>
      <c r="M40" s="469"/>
      <c r="N40" s="469"/>
    </row>
    <row r="41" spans="1:14">
      <c r="A41" s="255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</row>
    <row r="42" spans="1:14">
      <c r="A42" s="449" t="s">
        <v>300</v>
      </c>
      <c r="B42" s="449"/>
      <c r="C42" s="623" t="s">
        <v>301</v>
      </c>
      <c r="D42" s="623" t="s">
        <v>302</v>
      </c>
      <c r="E42" s="255"/>
      <c r="F42" s="255"/>
      <c r="G42" s="255"/>
      <c r="H42" s="446"/>
      <c r="I42" s="255"/>
      <c r="J42" s="255"/>
      <c r="K42" s="255"/>
      <c r="L42" s="255"/>
      <c r="M42" s="255"/>
      <c r="N42" s="255"/>
    </row>
    <row r="43" spans="1:14">
      <c r="A43" s="449" t="s">
        <v>303</v>
      </c>
      <c r="B43" s="255"/>
      <c r="C43" s="623" t="s">
        <v>301</v>
      </c>
      <c r="D43" s="623" t="s">
        <v>266</v>
      </c>
      <c r="E43" s="255"/>
      <c r="F43" s="255"/>
      <c r="G43" s="255"/>
      <c r="H43" s="255"/>
      <c r="I43" s="255"/>
      <c r="J43" s="255"/>
      <c r="K43" s="255"/>
      <c r="L43" s="255"/>
      <c r="M43" s="255"/>
      <c r="N43" s="255"/>
    </row>
    <row r="44" spans="1:14">
      <c r="A44" s="449" t="s">
        <v>305</v>
      </c>
      <c r="B44" s="255"/>
      <c r="C44" s="623" t="s">
        <v>301</v>
      </c>
      <c r="D44" s="623" t="s">
        <v>104</v>
      </c>
      <c r="E44" s="255"/>
      <c r="F44" s="255"/>
      <c r="G44" s="255"/>
      <c r="H44" s="255"/>
      <c r="I44" s="255"/>
      <c r="J44" s="255"/>
      <c r="K44" s="449"/>
      <c r="L44" s="255"/>
      <c r="M44" s="255"/>
      <c r="N44" s="255"/>
    </row>
  </sheetData>
  <sheetProtection sheet="1" objects="1" scenarios="1"/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workbookViewId="0">
      <selection activeCell="D5" sqref="D5"/>
    </sheetView>
  </sheetViews>
  <sheetFormatPr defaultRowHeight="15"/>
  <cols>
    <col min="2" max="2" width="20.77734375" customWidth="1"/>
    <col min="3" max="4" width="8.77734375" customWidth="1"/>
    <col min="5" max="5" width="15.77734375" customWidth="1"/>
    <col min="7" max="7" width="4.77734375" customWidth="1"/>
  </cols>
  <sheetData>
    <row r="1" spans="1:7">
      <c r="A1" s="228" t="s">
        <v>306</v>
      </c>
      <c r="B1" s="228"/>
      <c r="C1" s="228"/>
      <c r="D1" s="228"/>
      <c r="E1" s="228"/>
      <c r="F1" s="228"/>
      <c r="G1" s="249" t="s">
        <v>307</v>
      </c>
    </row>
    <row r="2" spans="1:7">
      <c r="A2" s="230" t="s">
        <v>308</v>
      </c>
      <c r="B2" s="231"/>
      <c r="C2" s="231"/>
      <c r="D2" s="231"/>
      <c r="E2" s="230"/>
      <c r="F2" s="231"/>
      <c r="G2" s="290"/>
    </row>
    <row r="3" spans="1:7">
      <c r="A3" s="232"/>
      <c r="B3" s="232"/>
      <c r="C3" s="232"/>
      <c r="D3" s="232"/>
      <c r="E3" s="233" t="s">
        <v>252</v>
      </c>
      <c r="F3" s="470"/>
      <c r="G3" s="471"/>
    </row>
    <row r="4" spans="1:7">
      <c r="A4" s="233" t="s">
        <v>18</v>
      </c>
      <c r="B4" s="234">
        <f>'Proj Info'!B4</f>
        <v>0</v>
      </c>
      <c r="C4" s="235"/>
      <c r="D4" s="232"/>
      <c r="E4" s="233" t="s">
        <v>230</v>
      </c>
      <c r="F4" s="291">
        <f>'Proj Info'!B11</f>
        <v>0</v>
      </c>
      <c r="G4" s="292"/>
    </row>
    <row r="5" spans="1:7">
      <c r="A5" s="232"/>
      <c r="B5" s="235"/>
      <c r="C5" s="232"/>
      <c r="D5" s="232"/>
      <c r="E5" s="232"/>
      <c r="F5" s="232"/>
      <c r="G5" s="12"/>
    </row>
    <row r="6" spans="1:7">
      <c r="A6" s="293" t="s">
        <v>298</v>
      </c>
      <c r="B6" s="294"/>
      <c r="C6" s="295" t="s">
        <v>309</v>
      </c>
      <c r="D6" s="296"/>
      <c r="E6" s="297"/>
      <c r="F6" s="297"/>
      <c r="G6" s="298"/>
    </row>
    <row r="7" spans="1:7" ht="15.75" thickBot="1">
      <c r="A7" s="299" t="s">
        <v>310</v>
      </c>
      <c r="B7" s="300" t="s">
        <v>311</v>
      </c>
      <c r="C7" s="300" t="s">
        <v>312</v>
      </c>
      <c r="D7" s="300" t="s">
        <v>313</v>
      </c>
      <c r="E7" s="268" t="s">
        <v>28</v>
      </c>
      <c r="F7" s="268"/>
      <c r="G7" s="301" t="s">
        <v>314</v>
      </c>
    </row>
    <row r="8" spans="1:7" ht="15.75" thickTop="1">
      <c r="A8" s="472"/>
      <c r="B8" s="274" t="s">
        <v>315</v>
      </c>
      <c r="C8" s="473"/>
      <c r="D8" s="473"/>
      <c r="E8" s="474"/>
      <c r="F8" s="475"/>
      <c r="G8" s="476"/>
    </row>
    <row r="9" spans="1:7">
      <c r="A9" s="468"/>
      <c r="B9" s="302" t="s">
        <v>316</v>
      </c>
      <c r="C9" s="469"/>
      <c r="D9" s="469"/>
      <c r="E9" s="477"/>
      <c r="F9" s="478"/>
      <c r="G9" s="476"/>
    </row>
    <row r="10" spans="1:7">
      <c r="A10" s="468"/>
      <c r="B10" s="302" t="s">
        <v>317</v>
      </c>
      <c r="C10" s="469"/>
      <c r="D10" s="469"/>
      <c r="E10" s="477"/>
      <c r="F10" s="478"/>
      <c r="G10" s="476"/>
    </row>
    <row r="11" spans="1:7">
      <c r="A11" s="468"/>
      <c r="B11" s="302" t="s">
        <v>318</v>
      </c>
      <c r="C11" s="469"/>
      <c r="D11" s="469"/>
      <c r="E11" s="477"/>
      <c r="F11" s="478"/>
      <c r="G11" s="476"/>
    </row>
    <row r="12" spans="1:7">
      <c r="A12" s="468"/>
      <c r="B12" s="302" t="s">
        <v>319</v>
      </c>
      <c r="C12" s="469"/>
      <c r="D12" s="469"/>
      <c r="E12" s="477"/>
      <c r="F12" s="478"/>
      <c r="G12" s="476"/>
    </row>
    <row r="13" spans="1:7">
      <c r="A13" s="468"/>
      <c r="B13" s="302" t="s">
        <v>320</v>
      </c>
      <c r="C13" s="469"/>
      <c r="D13" s="469"/>
      <c r="E13" s="477"/>
      <c r="F13" s="478"/>
      <c r="G13" s="476"/>
    </row>
    <row r="14" spans="1:7">
      <c r="A14" s="468"/>
      <c r="B14" s="302" t="s">
        <v>321</v>
      </c>
      <c r="C14" s="469"/>
      <c r="D14" s="469"/>
      <c r="E14" s="477"/>
      <c r="F14" s="478"/>
      <c r="G14" s="476"/>
    </row>
    <row r="15" spans="1:7">
      <c r="A15" s="468"/>
      <c r="B15" s="303" t="s">
        <v>322</v>
      </c>
      <c r="C15" s="469"/>
      <c r="D15" s="469"/>
      <c r="E15" s="477"/>
      <c r="F15" s="478"/>
      <c r="G15" s="476"/>
    </row>
    <row r="16" spans="1:7">
      <c r="A16" s="468"/>
      <c r="B16" s="302" t="s">
        <v>323</v>
      </c>
      <c r="C16" s="469"/>
      <c r="D16" s="469"/>
      <c r="E16" s="477"/>
      <c r="F16" s="478"/>
      <c r="G16" s="476"/>
    </row>
    <row r="17" spans="1:7">
      <c r="A17" s="468"/>
      <c r="B17" s="302" t="s">
        <v>324</v>
      </c>
      <c r="C17" s="469"/>
      <c r="D17" s="469"/>
      <c r="E17" s="477"/>
      <c r="F17" s="478"/>
      <c r="G17" s="476"/>
    </row>
    <row r="18" spans="1:7">
      <c r="A18" s="468"/>
      <c r="B18" s="302" t="s">
        <v>325</v>
      </c>
      <c r="C18" s="469"/>
      <c r="D18" s="469"/>
      <c r="E18" s="477"/>
      <c r="F18" s="478"/>
      <c r="G18" s="476"/>
    </row>
    <row r="19" spans="1:7">
      <c r="A19" s="468"/>
      <c r="B19" s="302" t="s">
        <v>326</v>
      </c>
      <c r="C19" s="469"/>
      <c r="D19" s="469"/>
      <c r="E19" s="477"/>
      <c r="F19" s="478"/>
      <c r="G19" s="476"/>
    </row>
    <row r="20" spans="1:7">
      <c r="A20" s="468"/>
      <c r="B20" s="302" t="s">
        <v>327</v>
      </c>
      <c r="C20" s="469"/>
      <c r="D20" s="469"/>
      <c r="E20" s="477"/>
      <c r="F20" s="478"/>
      <c r="G20" s="476"/>
    </row>
    <row r="21" spans="1:7">
      <c r="A21" s="468"/>
      <c r="B21" s="302" t="s">
        <v>328</v>
      </c>
      <c r="C21" s="469"/>
      <c r="D21" s="469"/>
      <c r="E21" s="477"/>
      <c r="F21" s="478"/>
      <c r="G21" s="476"/>
    </row>
    <row r="22" spans="1:7">
      <c r="A22" s="468"/>
      <c r="B22" s="302" t="s">
        <v>329</v>
      </c>
      <c r="C22" s="469"/>
      <c r="D22" s="469"/>
      <c r="E22" s="477"/>
      <c r="F22" s="478"/>
      <c r="G22" s="476"/>
    </row>
    <row r="23" spans="1:7">
      <c r="A23" s="468"/>
      <c r="B23" s="302" t="s">
        <v>330</v>
      </c>
      <c r="C23" s="469"/>
      <c r="D23" s="469"/>
      <c r="E23" s="477"/>
      <c r="F23" s="478"/>
      <c r="G23" s="476"/>
    </row>
    <row r="24" spans="1:7">
      <c r="A24" s="468"/>
      <c r="B24" s="302" t="s">
        <v>331</v>
      </c>
      <c r="C24" s="469"/>
      <c r="D24" s="469"/>
      <c r="E24" s="477"/>
      <c r="F24" s="478"/>
      <c r="G24" s="476"/>
    </row>
    <row r="25" spans="1:7">
      <c r="A25" s="468"/>
      <c r="B25" s="302" t="s">
        <v>332</v>
      </c>
      <c r="C25" s="469"/>
      <c r="D25" s="469"/>
      <c r="E25" s="477"/>
      <c r="F25" s="478"/>
      <c r="G25" s="476"/>
    </row>
    <row r="26" spans="1:7">
      <c r="A26" s="468"/>
      <c r="B26" s="302" t="s">
        <v>333</v>
      </c>
      <c r="C26" s="469"/>
      <c r="D26" s="469"/>
      <c r="E26" s="477"/>
      <c r="F26" s="478"/>
      <c r="G26" s="476"/>
    </row>
    <row r="27" spans="1:7">
      <c r="A27" s="468"/>
      <c r="B27" s="302" t="s">
        <v>334</v>
      </c>
      <c r="C27" s="469"/>
      <c r="D27" s="469"/>
      <c r="E27" s="477"/>
      <c r="F27" s="478"/>
      <c r="G27" s="476"/>
    </row>
    <row r="28" spans="1:7">
      <c r="A28" s="468"/>
      <c r="B28" s="302" t="s">
        <v>335</v>
      </c>
      <c r="C28" s="469"/>
      <c r="D28" s="469"/>
      <c r="E28" s="477"/>
      <c r="F28" s="478"/>
      <c r="G28" s="476"/>
    </row>
    <row r="29" spans="1:7">
      <c r="A29" s="468"/>
      <c r="B29" s="302" t="s">
        <v>336</v>
      </c>
      <c r="C29" s="469"/>
      <c r="D29" s="469"/>
      <c r="E29" s="477"/>
      <c r="F29" s="478"/>
      <c r="G29" s="476"/>
    </row>
    <row r="30" spans="1:7">
      <c r="A30" s="468"/>
      <c r="B30" s="302" t="s">
        <v>337</v>
      </c>
      <c r="C30" s="469"/>
      <c r="D30" s="469"/>
      <c r="E30" s="477"/>
      <c r="F30" s="478"/>
      <c r="G30" s="476"/>
    </row>
    <row r="31" spans="1:7">
      <c r="A31" s="468"/>
      <c r="B31" s="302" t="s">
        <v>338</v>
      </c>
      <c r="C31" s="469"/>
      <c r="D31" s="469"/>
      <c r="E31" s="477"/>
      <c r="F31" s="478"/>
      <c r="G31" s="476"/>
    </row>
    <row r="32" spans="1:7">
      <c r="A32" s="468"/>
      <c r="B32" s="302" t="s">
        <v>339</v>
      </c>
      <c r="C32" s="469"/>
      <c r="D32" s="469"/>
      <c r="E32" s="477"/>
      <c r="F32" s="478"/>
      <c r="G32" s="476"/>
    </row>
    <row r="33" spans="1:7">
      <c r="A33" s="468"/>
      <c r="B33" s="302" t="s">
        <v>340</v>
      </c>
      <c r="C33" s="469"/>
      <c r="D33" s="469"/>
      <c r="E33" s="477"/>
      <c r="F33" s="478"/>
      <c r="G33" s="476"/>
    </row>
    <row r="34" spans="1:7">
      <c r="A34" s="468"/>
      <c r="B34" s="302" t="s">
        <v>341</v>
      </c>
      <c r="C34" s="469"/>
      <c r="D34" s="469"/>
      <c r="E34" s="477"/>
      <c r="F34" s="478"/>
      <c r="G34" s="476"/>
    </row>
    <row r="35" spans="1:7">
      <c r="A35" s="468"/>
      <c r="B35" s="302" t="s">
        <v>342</v>
      </c>
      <c r="C35" s="469"/>
      <c r="D35" s="469"/>
      <c r="E35" s="477"/>
      <c r="F35" s="478"/>
      <c r="G35" s="476"/>
    </row>
    <row r="36" spans="1:7">
      <c r="A36" s="2"/>
      <c r="B36" s="2"/>
      <c r="C36" s="2"/>
      <c r="D36" s="2"/>
      <c r="E36" s="2"/>
      <c r="F36" s="2"/>
      <c r="G36" s="304"/>
    </row>
    <row r="37" spans="1:7">
      <c r="A37" s="228" t="s">
        <v>343</v>
      </c>
      <c r="B37" s="305"/>
      <c r="C37" s="305"/>
      <c r="D37" s="305"/>
      <c r="E37" s="305"/>
      <c r="F37" s="305"/>
      <c r="G37" s="12"/>
    </row>
  </sheetData>
  <sheetProtection sheet="1" objects="1" scenarios="1"/>
  <phoneticPr fontId="47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J35"/>
  <sheetViews>
    <sheetView workbookViewId="0">
      <selection activeCell="G4" sqref="G4"/>
    </sheetView>
  </sheetViews>
  <sheetFormatPr defaultRowHeight="15"/>
  <cols>
    <col min="1" max="1" width="10.109375" customWidth="1"/>
    <col min="2" max="2" width="13.77734375" customWidth="1"/>
    <col min="3" max="3" width="10.77734375" customWidth="1"/>
    <col min="4" max="4" width="14.21875" customWidth="1"/>
    <col min="5" max="5" width="6.77734375" customWidth="1"/>
    <col min="6" max="6" width="10" customWidth="1"/>
    <col min="7" max="7" width="9.5546875" customWidth="1"/>
    <col min="8" max="9" width="8.77734375" customWidth="1"/>
    <col min="10" max="10" width="9.88671875" customWidth="1"/>
    <col min="11" max="27" width="8.77734375" customWidth="1"/>
  </cols>
  <sheetData>
    <row r="1" spans="1:10" ht="16.5" thickBot="1">
      <c r="A1" s="131" t="s">
        <v>486</v>
      </c>
      <c r="D1" s="523" t="s">
        <v>481</v>
      </c>
      <c r="E1" s="131"/>
      <c r="F1" s="131"/>
      <c r="G1" s="131"/>
      <c r="I1" s="168"/>
      <c r="J1" s="169"/>
    </row>
    <row r="2" spans="1:10" ht="16.149999999999999" customHeight="1" thickTop="1">
      <c r="B2" s="545" t="s">
        <v>139</v>
      </c>
      <c r="C2" s="546"/>
      <c r="D2" s="547"/>
      <c r="F2" s="552" t="s">
        <v>523</v>
      </c>
      <c r="G2" s="553"/>
    </row>
    <row r="3" spans="1:10" ht="31.5" customHeight="1" thickBot="1">
      <c r="B3" s="508" t="s">
        <v>474</v>
      </c>
      <c r="C3" s="508" t="s">
        <v>475</v>
      </c>
      <c r="D3" s="216" t="s">
        <v>126</v>
      </c>
      <c r="F3" s="554"/>
      <c r="G3" s="555"/>
    </row>
    <row r="4" spans="1:10" ht="15.75" thickTop="1">
      <c r="A4" s="306" t="s">
        <v>479</v>
      </c>
      <c r="B4" s="509" t="str">
        <f>IF('Proj Info'!B28="","",'Proj Info'!B28)</f>
        <v/>
      </c>
      <c r="C4" s="509" t="str">
        <f>IF('Proj Info'!B29="","",'Proj Info'!B29)</f>
        <v/>
      </c>
      <c r="D4" s="520"/>
      <c r="E4" s="505" t="str">
        <f>IF(ISERROR(#REF!),"",#REF!)</f>
        <v/>
      </c>
      <c r="G4" s="507" t="str">
        <f>IF(OR('Proj Info'!B8="QMC",'Proj Info'!B8="HPC-D"),"ENTER","")</f>
        <v/>
      </c>
    </row>
    <row r="5" spans="1:10">
      <c r="A5" s="306" t="s">
        <v>14</v>
      </c>
      <c r="B5" s="509" t="str">
        <f>IF('Proj Info'!B31="","",'Proj Info'!B31)</f>
        <v/>
      </c>
      <c r="C5" s="509" t="str">
        <f>IF('Proj Info'!B32="","",'Proj Info'!B32)</f>
        <v/>
      </c>
      <c r="D5" s="520"/>
      <c r="E5" s="505" t="str">
        <f>IF(ISERROR(#REF!),"",#REF!)</f>
        <v/>
      </c>
      <c r="F5" s="548"/>
      <c r="G5" s="549"/>
    </row>
    <row r="6" spans="1:10" ht="15.75">
      <c r="A6" s="306" t="s">
        <v>15</v>
      </c>
      <c r="B6" s="509" t="str">
        <f>IF('Proj Info'!B34="","",'Proj Info'!B34)</f>
        <v/>
      </c>
      <c r="C6" s="509" t="str">
        <f>IF('Proj Info'!B35="","",'Proj Info'!B35)</f>
        <v/>
      </c>
      <c r="D6" s="520"/>
      <c r="E6" s="505" t="str">
        <f>IF(ISERROR(#REF!),"",#REF!)</f>
        <v/>
      </c>
      <c r="F6" s="550" t="s">
        <v>127</v>
      </c>
      <c r="G6" s="551"/>
    </row>
    <row r="7" spans="1:10">
      <c r="D7" s="521">
        <f>SUM(D4:D6)</f>
        <v>0</v>
      </c>
      <c r="E7" s="506"/>
    </row>
    <row r="8" spans="1:10">
      <c r="B8" s="522" t="s">
        <v>480</v>
      </c>
      <c r="E8" s="506"/>
      <c r="F8" s="132" t="s">
        <v>65</v>
      </c>
      <c r="G8" s="133">
        <v>100</v>
      </c>
    </row>
    <row r="9" spans="1:10">
      <c r="B9" s="556" t="s">
        <v>101</v>
      </c>
      <c r="C9" s="546"/>
      <c r="D9" s="547"/>
      <c r="E9" s="506"/>
      <c r="F9" s="132" t="s">
        <v>66</v>
      </c>
      <c r="G9" s="133"/>
    </row>
    <row r="10" spans="1:10" ht="15.75">
      <c r="B10" s="508" t="s">
        <v>474</v>
      </c>
      <c r="C10" s="508" t="s">
        <v>475</v>
      </c>
      <c r="D10" s="216" t="s">
        <v>126</v>
      </c>
      <c r="E10" s="506"/>
      <c r="F10" s="132" t="s">
        <v>67</v>
      </c>
      <c r="G10" s="133"/>
    </row>
    <row r="11" spans="1:10">
      <c r="A11" s="306" t="s">
        <v>479</v>
      </c>
      <c r="B11" s="510"/>
      <c r="C11" s="510"/>
      <c r="D11" s="520"/>
      <c r="E11" s="505" t="str">
        <f>IF(ISERROR(#REF!),"",#REF!)</f>
        <v/>
      </c>
      <c r="F11" s="132" t="s">
        <v>68</v>
      </c>
      <c r="G11" s="133"/>
    </row>
    <row r="12" spans="1:10">
      <c r="A12" s="306" t="s">
        <v>14</v>
      </c>
      <c r="B12" s="510"/>
      <c r="C12" s="510"/>
      <c r="D12" s="520"/>
      <c r="E12" s="505" t="str">
        <f>IF(ISERROR(#REF!),"",#REF!)</f>
        <v/>
      </c>
      <c r="F12" s="132" t="s">
        <v>69</v>
      </c>
      <c r="G12" s="133"/>
    </row>
    <row r="13" spans="1:10">
      <c r="A13" s="306" t="s">
        <v>15</v>
      </c>
      <c r="B13" s="510"/>
      <c r="C13" s="510"/>
      <c r="D13" s="520"/>
      <c r="E13" s="505" t="str">
        <f>IF(ISERROR(#REF!),"",#REF!)</f>
        <v/>
      </c>
      <c r="F13" s="132" t="s">
        <v>70</v>
      </c>
      <c r="G13" s="134"/>
    </row>
    <row r="14" spans="1:10">
      <c r="D14" s="521">
        <f>SUM(D11:D13)</f>
        <v>0</v>
      </c>
      <c r="E14" s="506"/>
      <c r="F14" s="132" t="s">
        <v>71</v>
      </c>
      <c r="G14" s="134"/>
    </row>
    <row r="15" spans="1:10">
      <c r="E15" s="506"/>
      <c r="F15" s="132" t="s">
        <v>72</v>
      </c>
      <c r="G15" s="134"/>
    </row>
    <row r="16" spans="1:10">
      <c r="B16" s="545" t="s">
        <v>102</v>
      </c>
      <c r="C16" s="546"/>
      <c r="D16" s="547"/>
      <c r="E16" s="506"/>
      <c r="F16" s="132" t="s">
        <v>73</v>
      </c>
      <c r="G16" s="134"/>
    </row>
    <row r="17" spans="1:7" ht="15.75">
      <c r="B17" s="508" t="s">
        <v>474</v>
      </c>
      <c r="C17" s="508" t="s">
        <v>475</v>
      </c>
      <c r="D17" s="216" t="s">
        <v>126</v>
      </c>
      <c r="E17" s="506"/>
      <c r="F17" s="132" t="s">
        <v>74</v>
      </c>
      <c r="G17" s="134"/>
    </row>
    <row r="18" spans="1:7">
      <c r="A18" s="306" t="s">
        <v>479</v>
      </c>
      <c r="B18" s="510"/>
      <c r="C18" s="510"/>
      <c r="D18" s="520"/>
      <c r="E18" s="505" t="str">
        <f>IF(ISERROR(#REF!),"",#REF!)</f>
        <v/>
      </c>
      <c r="F18" s="132" t="s">
        <v>75</v>
      </c>
      <c r="G18" s="134"/>
    </row>
    <row r="19" spans="1:7">
      <c r="A19" s="306" t="s">
        <v>14</v>
      </c>
      <c r="B19" s="510"/>
      <c r="C19" s="510"/>
      <c r="D19" s="520"/>
      <c r="E19" s="505" t="str">
        <f>IF(ISERROR(#REF!),"",#REF!)</f>
        <v/>
      </c>
      <c r="F19" s="132" t="s">
        <v>128</v>
      </c>
      <c r="G19" s="134">
        <v>2</v>
      </c>
    </row>
    <row r="20" spans="1:7">
      <c r="A20" s="306" t="s">
        <v>15</v>
      </c>
      <c r="B20" s="510"/>
      <c r="C20" s="510"/>
      <c r="D20" s="520"/>
      <c r="E20" s="505" t="str">
        <f>IF(ISERROR(#REF!),"",#REF!)</f>
        <v/>
      </c>
    </row>
    <row r="21" spans="1:7">
      <c r="D21" s="521">
        <f>SUM(D18:D20)</f>
        <v>0</v>
      </c>
      <c r="E21" s="506"/>
    </row>
    <row r="22" spans="1:7">
      <c r="E22" s="506"/>
    </row>
    <row r="23" spans="1:7">
      <c r="B23" s="545" t="s">
        <v>140</v>
      </c>
      <c r="C23" s="546"/>
      <c r="D23" s="547"/>
      <c r="E23" s="506"/>
    </row>
    <row r="24" spans="1:7" ht="15.75">
      <c r="B24" s="508" t="s">
        <v>474</v>
      </c>
      <c r="C24" s="508" t="s">
        <v>475</v>
      </c>
      <c r="D24" s="216" t="s">
        <v>126</v>
      </c>
      <c r="E24" s="506"/>
    </row>
    <row r="25" spans="1:7">
      <c r="A25" s="306" t="s">
        <v>479</v>
      </c>
      <c r="B25" s="510"/>
      <c r="C25" s="510"/>
      <c r="D25" s="520"/>
      <c r="E25" s="505" t="str">
        <f>IF(ISERROR(#REF!),"",#REF!)</f>
        <v/>
      </c>
    </row>
    <row r="26" spans="1:7">
      <c r="A26" s="306" t="s">
        <v>14</v>
      </c>
      <c r="B26" s="510"/>
      <c r="C26" s="510"/>
      <c r="D26" s="520"/>
      <c r="E26" s="505" t="str">
        <f>IF(ISERROR(#REF!),"",#REF!)</f>
        <v/>
      </c>
    </row>
    <row r="27" spans="1:7">
      <c r="A27" s="306" t="s">
        <v>15</v>
      </c>
      <c r="B27" s="510"/>
      <c r="C27" s="510"/>
      <c r="D27" s="520"/>
      <c r="E27" s="505" t="str">
        <f>IF(ISERROR(#REF!),"",#REF!)</f>
        <v/>
      </c>
    </row>
    <row r="28" spans="1:7">
      <c r="D28" s="521">
        <f>SUM(D25:D27)</f>
        <v>0</v>
      </c>
      <c r="E28" s="506"/>
    </row>
    <row r="29" spans="1:7">
      <c r="E29" s="506"/>
    </row>
    <row r="30" spans="1:7">
      <c r="B30" s="545" t="s">
        <v>141</v>
      </c>
      <c r="C30" s="546"/>
      <c r="D30" s="547"/>
      <c r="E30" s="506"/>
    </row>
    <row r="31" spans="1:7" ht="15.75">
      <c r="B31" s="508" t="s">
        <v>474</v>
      </c>
      <c r="C31" s="508" t="s">
        <v>475</v>
      </c>
      <c r="D31" s="216" t="s">
        <v>126</v>
      </c>
      <c r="E31" s="506"/>
    </row>
    <row r="32" spans="1:7">
      <c r="A32" s="306" t="s">
        <v>479</v>
      </c>
      <c r="B32" s="510"/>
      <c r="C32" s="510"/>
      <c r="D32" s="520"/>
      <c r="E32" s="505" t="str">
        <f>IF(ISERROR(#REF!),"",#REF!)</f>
        <v/>
      </c>
    </row>
    <row r="33" spans="1:5">
      <c r="A33" s="306" t="s">
        <v>14</v>
      </c>
      <c r="B33" s="510"/>
      <c r="C33" s="510"/>
      <c r="D33" s="520"/>
      <c r="E33" s="505" t="str">
        <f>IF(ISERROR(#REF!),"",#REF!)</f>
        <v/>
      </c>
    </row>
    <row r="34" spans="1:5">
      <c r="A34" s="306" t="s">
        <v>15</v>
      </c>
      <c r="B34" s="510"/>
      <c r="C34" s="510"/>
      <c r="D34" s="520"/>
      <c r="E34" s="505" t="str">
        <f>IF(ISERROR(#REF!),"",#REF!)</f>
        <v/>
      </c>
    </row>
    <row r="35" spans="1:5">
      <c r="D35" s="521">
        <f>SUM(D32:D34)</f>
        <v>0</v>
      </c>
    </row>
  </sheetData>
  <mergeCells count="8">
    <mergeCell ref="B23:D23"/>
    <mergeCell ref="B30:D30"/>
    <mergeCell ref="F5:G5"/>
    <mergeCell ref="F6:G6"/>
    <mergeCell ref="F2:G3"/>
    <mergeCell ref="B2:D2"/>
    <mergeCell ref="B9:D9"/>
    <mergeCell ref="B16:D16"/>
  </mergeCells>
  <phoneticPr fontId="47" type="noConversion"/>
  <pageMargins left="0.75" right="0.75" top="1" bottom="1" header="0.5" footer="0.5"/>
  <pageSetup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E52"/>
  <sheetViews>
    <sheetView defaultGridColor="0" view="pageBreakPreview" topLeftCell="A13" colorId="22" zoomScale="75" zoomScaleNormal="75" workbookViewId="0">
      <pane xSplit="1" topLeftCell="B1" activePane="topRight" state="frozen"/>
      <selection pane="topRight" activeCell="J24" sqref="J24:J31"/>
    </sheetView>
  </sheetViews>
  <sheetFormatPr defaultColWidth="9.77734375" defaultRowHeight="15"/>
  <cols>
    <col min="1" max="1" width="15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476</v>
      </c>
      <c r="B1" s="518"/>
    </row>
    <row r="2" spans="1:29" ht="21" customHeight="1">
      <c r="A2" s="44" t="s">
        <v>159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  <c r="AA2" s="45"/>
      <c r="AB2" s="45"/>
      <c r="AC2" s="45"/>
    </row>
    <row r="3" spans="1:29" ht="21" customHeight="1">
      <c r="A3" s="25" t="s">
        <v>160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  <c r="AA3" s="45"/>
      <c r="AB3" s="45"/>
      <c r="AC3" s="45"/>
    </row>
    <row r="4" spans="1:29" ht="21" customHeight="1" thickBot="1">
      <c r="A4" s="217" t="s">
        <v>157</v>
      </c>
      <c r="B4" s="198"/>
      <c r="C4" s="557" t="s">
        <v>151</v>
      </c>
      <c r="D4" s="561"/>
      <c r="E4" s="190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84</v>
      </c>
      <c r="U4" s="45"/>
      <c r="V4" s="45"/>
      <c r="W4" s="45"/>
      <c r="Y4" s="48" t="s">
        <v>85</v>
      </c>
      <c r="Z4" s="45"/>
      <c r="AA4" s="45"/>
      <c r="AB4" s="45"/>
      <c r="AC4" s="45"/>
    </row>
    <row r="5" spans="1:29" ht="21" customHeight="1" thickTop="1">
      <c r="A5" s="33" t="s">
        <v>37</v>
      </c>
      <c r="B5" s="199"/>
      <c r="C5" s="29"/>
      <c r="D5" s="559" t="str">
        <f>IF(E4&lt;5,"",IF(E4&lt;99.5,"Check Weights.",IF(E4&gt;100.5,"Check Weights","")))</f>
        <v/>
      </c>
      <c r="E5" s="560"/>
      <c r="F5" s="35"/>
      <c r="G5" s="194">
        <f t="shared" ref="G5:G12" si="0">IF($M$14=100,$M5,IF($N$14=100,$N5,IF($O$14=100,$O5,IF($P$14=100,$P5,IF($Q$14=100,$Q5,IF($R$14=100,$R5,$R5))))))</f>
        <v>0.1</v>
      </c>
      <c r="H5" s="194">
        <f>IF(D12=0,0,100)</f>
        <v>0</v>
      </c>
      <c r="I5" s="195">
        <f t="shared" ref="I5:I11" si="1">IF(H5&gt;9.9,ROUND(H5,0),ROUND(H5,1))</f>
        <v>0</v>
      </c>
      <c r="J5" s="204" t="str">
        <f>IF('Proj Info'!B39=" "," ",'Proj Info'!B39)</f>
        <v>100</v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86</v>
      </c>
      <c r="U5" s="50"/>
      <c r="V5" s="50"/>
      <c r="W5" s="51"/>
      <c r="X5" s="52"/>
      <c r="Y5" s="52">
        <f>'HPC-D Mix'!D4</f>
        <v>0</v>
      </c>
      <c r="Z5" s="53" t="e">
        <f>Y5/(SUM($Y$5:$Y$7))</f>
        <v>#DIV/0!</v>
      </c>
      <c r="AA5" s="45"/>
      <c r="AB5" s="45"/>
      <c r="AC5" s="45"/>
    </row>
    <row r="6" spans="1:29" ht="21" customHeight="1">
      <c r="A6" s="33" t="s">
        <v>38</v>
      </c>
      <c r="B6" s="199"/>
      <c r="C6" s="29"/>
      <c r="D6" s="31"/>
      <c r="E6" s="29"/>
      <c r="F6" s="29"/>
      <c r="G6" s="194">
        <f t="shared" si="0"/>
        <v>0.1</v>
      </c>
      <c r="H6" s="194">
        <f t="shared" ref="H6:H11" si="8">IF(H5=0,0,(H5-G6))</f>
        <v>0</v>
      </c>
      <c r="I6" s="195">
        <f t="shared" si="1"/>
        <v>0</v>
      </c>
      <c r="J6" s="204" t="str">
        <f>IF('Proj Info'!B40=" "," ",'Proj Info'!B40)</f>
        <v>95-100</v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87</v>
      </c>
      <c r="U6" s="55"/>
      <c r="V6" s="55"/>
      <c r="W6" s="56"/>
      <c r="X6" s="57"/>
      <c r="Y6" s="58">
        <f>'HPC-D Mix'!D5</f>
        <v>0</v>
      </c>
      <c r="Z6" s="59" t="e">
        <f>Y6/(SUM($Y$5:$Y$7))</f>
        <v>#DIV/0!</v>
      </c>
      <c r="AA6" s="45"/>
      <c r="AB6" s="45"/>
      <c r="AC6" s="45"/>
    </row>
    <row r="7" spans="1:29" ht="21" customHeight="1" thickBot="1">
      <c r="A7" s="33" t="s">
        <v>39</v>
      </c>
      <c r="B7" s="199"/>
      <c r="C7" s="29"/>
      <c r="D7" s="29"/>
      <c r="E7" s="29"/>
      <c r="F7" s="29"/>
      <c r="G7" s="194">
        <f t="shared" si="0"/>
        <v>0.1</v>
      </c>
      <c r="H7" s="194">
        <f t="shared" si="8"/>
        <v>0</v>
      </c>
      <c r="I7" s="195">
        <f t="shared" si="1"/>
        <v>0</v>
      </c>
      <c r="J7" s="204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88</v>
      </c>
      <c r="U7" s="61"/>
      <c r="V7" s="61"/>
      <c r="W7" s="62"/>
      <c r="X7" s="63"/>
      <c r="Y7" s="64">
        <f>'HPC-D Mix'!D6</f>
        <v>0</v>
      </c>
      <c r="Z7" s="65" t="e">
        <f>Y7/(SUM($Y$5:Y$7))</f>
        <v>#DIV/0!</v>
      </c>
      <c r="AA7" s="45"/>
      <c r="AB7" s="45"/>
      <c r="AC7" s="45"/>
    </row>
    <row r="8" spans="1:29" ht="21" customHeight="1" thickTop="1">
      <c r="A8" s="33" t="s">
        <v>40</v>
      </c>
      <c r="B8" s="199"/>
      <c r="C8" s="29"/>
      <c r="D8" s="29"/>
      <c r="E8" s="29"/>
      <c r="F8" s="29"/>
      <c r="G8" s="194">
        <f t="shared" si="0"/>
        <v>0.1</v>
      </c>
      <c r="H8" s="194">
        <f t="shared" si="8"/>
        <v>0</v>
      </c>
      <c r="I8" s="195">
        <f t="shared" si="1"/>
        <v>0</v>
      </c>
      <c r="J8" s="204" t="str">
        <f>IF('Proj Info'!B42=" "," ",'Proj Info'!B42)</f>
        <v>25-60</v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29" ht="21" customHeight="1">
      <c r="A9" s="33" t="s">
        <v>41</v>
      </c>
      <c r="B9" s="199"/>
      <c r="C9" s="29"/>
      <c r="D9" s="29"/>
      <c r="E9" s="29"/>
      <c r="F9" s="29"/>
      <c r="G9" s="194">
        <f t="shared" si="0"/>
        <v>0.1</v>
      </c>
      <c r="H9" s="194">
        <f t="shared" si="8"/>
        <v>0</v>
      </c>
      <c r="I9" s="195">
        <f t="shared" si="1"/>
        <v>0</v>
      </c>
      <c r="J9" s="204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AA9" s="45"/>
      <c r="AB9" s="45"/>
      <c r="AC9" s="45"/>
    </row>
    <row r="10" spans="1:29" ht="21" customHeight="1">
      <c r="A10" s="33" t="s">
        <v>42</v>
      </c>
      <c r="B10" s="199"/>
      <c r="C10" s="29"/>
      <c r="D10" s="29"/>
      <c r="E10" s="29"/>
      <c r="F10" s="29"/>
      <c r="G10" s="194">
        <f t="shared" si="0"/>
        <v>0.1</v>
      </c>
      <c r="H10" s="194">
        <f t="shared" si="8"/>
        <v>0</v>
      </c>
      <c r="I10" s="195">
        <f t="shared" si="1"/>
        <v>0</v>
      </c>
      <c r="J10" s="204" t="str">
        <f>IF('Proj Info'!B44=" "," ",'Proj Info'!B44)</f>
        <v>0-10</v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AA10" s="45"/>
      <c r="AB10" s="45"/>
      <c r="AC10" s="45"/>
    </row>
    <row r="11" spans="1:29" ht="21" customHeight="1" thickBot="1">
      <c r="A11" s="33" t="s">
        <v>43</v>
      </c>
      <c r="B11" s="199"/>
      <c r="C11" s="29"/>
      <c r="D11" s="36" t="s">
        <v>27</v>
      </c>
      <c r="E11" s="29"/>
      <c r="F11" s="29"/>
      <c r="G11" s="194">
        <f t="shared" si="0"/>
        <v>0.1</v>
      </c>
      <c r="H11" s="194">
        <f t="shared" si="8"/>
        <v>0</v>
      </c>
      <c r="I11" s="195">
        <f t="shared" si="1"/>
        <v>0</v>
      </c>
      <c r="J11" s="204" t="str">
        <f>IF('Proj Info'!B45=" "," ",'Proj Info'!B45)</f>
        <v>0-5</v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AA11" s="45"/>
      <c r="AB11" s="45"/>
      <c r="AC11" s="45"/>
    </row>
    <row r="12" spans="1:29" ht="21" customHeight="1" thickBot="1">
      <c r="A12" s="33" t="s">
        <v>46</v>
      </c>
      <c r="B12" s="192"/>
      <c r="C12" s="29"/>
      <c r="D12" s="197">
        <f>IF(B12="",0,SUM(B5:B12))</f>
        <v>0</v>
      </c>
      <c r="E12" s="29"/>
      <c r="F12" s="29"/>
      <c r="G12" s="194">
        <f t="shared" si="0"/>
        <v>0.1</v>
      </c>
      <c r="H12" s="37"/>
      <c r="I12" s="37"/>
      <c r="J12" s="207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AA12" s="66"/>
      <c r="AB12" s="66"/>
      <c r="AC12" s="66"/>
    </row>
    <row r="13" spans="1:29" ht="21" customHeight="1" thickBot="1">
      <c r="A13" s="218" t="s">
        <v>157</v>
      </c>
      <c r="B13" s="200"/>
      <c r="C13" s="37" t="s">
        <v>44</v>
      </c>
      <c r="D13" s="29"/>
      <c r="E13" s="29"/>
      <c r="F13" s="29"/>
      <c r="G13" s="194">
        <f>SUM(G5:G12)</f>
        <v>0.79999999999999993</v>
      </c>
      <c r="H13" s="196"/>
      <c r="I13" s="196"/>
      <c r="J13" s="207"/>
      <c r="K13" s="14"/>
      <c r="L13" s="14"/>
      <c r="M13" s="16"/>
      <c r="N13" s="17"/>
      <c r="O13" s="19"/>
      <c r="P13" s="19"/>
      <c r="Q13" s="19"/>
      <c r="R13" s="19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ht="21" customHeight="1" thickTop="1">
      <c r="A14" s="219" t="s">
        <v>158</v>
      </c>
      <c r="B14" s="201"/>
      <c r="C14" s="37" t="s">
        <v>45</v>
      </c>
      <c r="D14" s="29"/>
      <c r="E14" s="29"/>
      <c r="F14" s="29"/>
      <c r="G14" s="196"/>
      <c r="H14" s="38" t="s">
        <v>17</v>
      </c>
      <c r="I14" s="193">
        <f>ROUND(IF(B17=0,0,SUM(B17/B13)*100),1)</f>
        <v>0</v>
      </c>
      <c r="J14" s="204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89</v>
      </c>
      <c r="Z14" s="68" t="s">
        <v>90</v>
      </c>
      <c r="AA14" s="68" t="s">
        <v>90</v>
      </c>
      <c r="AB14" s="68" t="s">
        <v>90</v>
      </c>
      <c r="AC14" s="69"/>
    </row>
    <row r="15" spans="1:29" ht="21" customHeight="1">
      <c r="A15" s="33" t="s">
        <v>46</v>
      </c>
      <c r="B15" s="192"/>
      <c r="C15" s="37" t="s">
        <v>47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91</v>
      </c>
      <c r="U15" s="71" t="s">
        <v>16</v>
      </c>
      <c r="V15" s="71" t="s">
        <v>16</v>
      </c>
      <c r="W15" s="71" t="s">
        <v>16</v>
      </c>
      <c r="X15" s="71"/>
      <c r="Y15" s="71" t="s">
        <v>92</v>
      </c>
      <c r="Z15" s="71" t="s">
        <v>93</v>
      </c>
      <c r="AA15" s="71" t="s">
        <v>94</v>
      </c>
      <c r="AB15" s="71" t="s">
        <v>95</v>
      </c>
      <c r="AC15" s="72" t="s">
        <v>96</v>
      </c>
    </row>
    <row r="16" spans="1:29" ht="21" customHeight="1">
      <c r="A16" s="33" t="s">
        <v>48</v>
      </c>
      <c r="B16" s="193">
        <f>IF(B14="",0,SUM(B13-B14))</f>
        <v>0</v>
      </c>
      <c r="C16" s="37" t="s">
        <v>49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97</v>
      </c>
      <c r="U16" s="71" t="s">
        <v>81</v>
      </c>
      <c r="V16" s="71" t="s">
        <v>81</v>
      </c>
      <c r="W16" s="71" t="s">
        <v>81</v>
      </c>
      <c r="X16" s="71"/>
      <c r="Y16" s="71" t="s">
        <v>98</v>
      </c>
      <c r="Z16" s="71" t="s">
        <v>98</v>
      </c>
      <c r="AA16" s="71" t="s">
        <v>98</v>
      </c>
      <c r="AB16" s="71" t="s">
        <v>98</v>
      </c>
      <c r="AC16" s="73" t="s">
        <v>93</v>
      </c>
    </row>
    <row r="17" spans="1:31" ht="21" customHeight="1" thickBot="1">
      <c r="A17" s="33" t="s">
        <v>50</v>
      </c>
      <c r="B17" s="202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99</v>
      </c>
      <c r="V17" s="75" t="s">
        <v>99</v>
      </c>
      <c r="W17" s="75" t="s">
        <v>99</v>
      </c>
      <c r="X17" s="75"/>
      <c r="Y17" s="75" t="s">
        <v>99</v>
      </c>
      <c r="Z17" s="75" t="s">
        <v>99</v>
      </c>
      <c r="AA17" s="75" t="s">
        <v>99</v>
      </c>
      <c r="AB17" s="75" t="s">
        <v>99</v>
      </c>
      <c r="AC17" s="76"/>
    </row>
    <row r="18" spans="1:31" ht="21" customHeight="1" thickTop="1">
      <c r="A18" s="33" t="s">
        <v>161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 t="s">
        <v>85</v>
      </c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100</v>
      </c>
      <c r="U19" s="83">
        <f>'Grad 1'!I5</f>
        <v>0</v>
      </c>
      <c r="V19" s="83">
        <f>'Grad 1'!I22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85" t="str">
        <f t="shared" ref="Y19:Y30" si="10">IF(ISNUMBER(X19),((IF(X19&gt;9.9,ROUND(X19,0),ROUND(X19,1)))),"")</f>
        <v/>
      </c>
      <c r="Z19" s="86">
        <f>'HPC-D Mix'!G8</f>
        <v>100</v>
      </c>
      <c r="AA19" s="102">
        <f t="shared" ref="AA19:AA24" si="11">IF(Z19-5&lt;0,0,IF((Z19-5)&gt;10,ROUND(Z19-5,1),ROUND(Z19-5,0)))</f>
        <v>95</v>
      </c>
      <c r="AB19" s="102">
        <f>IF(Z19+5&gt;100,100,IF(Z19+5&gt;10,ROUND(Z19+5,0),ROUND(Z19+5,1)))</f>
        <v>100</v>
      </c>
      <c r="AC19" s="81" t="str">
        <f t="shared" ref="AC19:AC30" si="12">IF(AND(AA19&lt;=X19,X19&lt;=AB19),"Yes","No")</f>
        <v>No</v>
      </c>
      <c r="AD19" s="101">
        <f>IF(AC19="YES",1,0)</f>
        <v>0</v>
      </c>
      <c r="AE19" t="str">
        <f>CONCATENATE(AA19,"-",AB19)</f>
        <v>95-100</v>
      </c>
    </row>
    <row r="20" spans="1:31" ht="21" customHeight="1">
      <c r="A20" s="25" t="s">
        <v>160</v>
      </c>
      <c r="B20" s="26"/>
      <c r="C20" s="27"/>
      <c r="D20" s="28"/>
      <c r="E20" s="29"/>
      <c r="F20" s="29"/>
      <c r="G20" s="10" t="s">
        <v>51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66</v>
      </c>
      <c r="U20" s="83">
        <f>'Grad 1'!I6</f>
        <v>0</v>
      </c>
      <c r="V20" s="83">
        <f>'Grad 1'!I23</f>
        <v>0</v>
      </c>
      <c r="W20" s="83">
        <v>100</v>
      </c>
      <c r="X20" s="84" t="str">
        <f t="shared" ref="X20:X30" si="13">IF($B$4=0," ",IF($B$20=" ",U20*$Z$5+W20*$Z$7,U20*$Z$5+V20*$Z$6+W20*Z$7))</f>
        <v xml:space="preserve"> </v>
      </c>
      <c r="Y20" s="85" t="str">
        <f t="shared" si="10"/>
        <v/>
      </c>
      <c r="Z20" s="86">
        <f>'HPC-D Mix'!G9</f>
        <v>0</v>
      </c>
      <c r="AA20" s="102">
        <f t="shared" si="11"/>
        <v>0</v>
      </c>
      <c r="AB20" s="102">
        <f>IF(Z20+5&gt;100,100,IF(Z20+5&gt;10,ROUND(Z20+5,0),ROUND(Z20+5,1)))</f>
        <v>5</v>
      </c>
      <c r="AC20" s="81" t="str">
        <f t="shared" si="12"/>
        <v>No</v>
      </c>
      <c r="AD20" s="101">
        <f t="shared" ref="AD20:AD30" si="14">IF(AC20="YES",1,0)</f>
        <v>0</v>
      </c>
      <c r="AE20" t="str">
        <f t="shared" ref="AE20:AE30" si="15">CONCATENATE(AA20,"-",AB20)</f>
        <v>0-5</v>
      </c>
    </row>
    <row r="21" spans="1:31" ht="21" customHeight="1" thickBot="1">
      <c r="A21" s="217" t="s">
        <v>157</v>
      </c>
      <c r="B21" s="198"/>
      <c r="C21" s="557" t="s">
        <v>151</v>
      </c>
      <c r="D21" s="561"/>
      <c r="E21" s="190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67</v>
      </c>
      <c r="U21" s="83">
        <f>'Grad 1'!I7</f>
        <v>0</v>
      </c>
      <c r="V21" s="83">
        <f>'Grad 1'!I24</f>
        <v>0</v>
      </c>
      <c r="W21" s="83">
        <v>100</v>
      </c>
      <c r="X21" s="84" t="str">
        <f t="shared" si="13"/>
        <v xml:space="preserve"> </v>
      </c>
      <c r="Y21" s="85" t="str">
        <f t="shared" si="10"/>
        <v/>
      </c>
      <c r="Z21" s="86">
        <f>'HPC-D Mix'!G10</f>
        <v>0</v>
      </c>
      <c r="AA21" s="102">
        <f t="shared" si="11"/>
        <v>0</v>
      </c>
      <c r="AB21" s="102">
        <f>IF(Z21+5&gt;100,100,IF(Z21+5&gt;10,ROUND(Z21+5,1),ROUND(Z21+5,0)))</f>
        <v>5</v>
      </c>
      <c r="AC21" s="81" t="str">
        <f t="shared" si="12"/>
        <v>No</v>
      </c>
      <c r="AD21" s="101">
        <f t="shared" si="14"/>
        <v>0</v>
      </c>
      <c r="AE21" t="str">
        <f t="shared" si="15"/>
        <v>0-5</v>
      </c>
    </row>
    <row r="22" spans="1:31" ht="21" customHeight="1">
      <c r="A22" s="33" t="s">
        <v>37</v>
      </c>
      <c r="B22" s="199"/>
      <c r="C22" s="29"/>
      <c r="D22" s="559" t="str">
        <f>IF(E21&lt;5,"",IF(E21&lt;99.5,"Check Weights.",IF(E21&gt;100.5,"Check Weights","")))</f>
        <v/>
      </c>
      <c r="E22" s="560"/>
      <c r="F22" s="35"/>
      <c r="G22" s="194">
        <f>IF($M$22=100,$M22,IF($N$22=100,$N22,IF($O$22=100,$O22,IF($P$22=100,$P22,IF($Q$22=100,$Q22,IF($R$22=100,$R22,$R22))))))</f>
        <v>0.1</v>
      </c>
      <c r="H22" s="194">
        <f>IF(D29=0,0,100)</f>
        <v>0</v>
      </c>
      <c r="I22" s="195">
        <f t="shared" ref="I22:I28" si="16">IF(H22&gt;9.9,ROUND(H22,0),ROUND(H22,1))</f>
        <v>0</v>
      </c>
      <c r="J22" s="204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68</v>
      </c>
      <c r="U22" s="83">
        <f>'Grad 1'!I8</f>
        <v>0</v>
      </c>
      <c r="V22" s="83">
        <f>'Grad 1'!I25</f>
        <v>0</v>
      </c>
      <c r="W22" s="83">
        <f>'Grad 1'!I41</f>
        <v>0</v>
      </c>
      <c r="X22" s="84" t="str">
        <f t="shared" si="13"/>
        <v xml:space="preserve"> </v>
      </c>
      <c r="Y22" s="85" t="str">
        <f t="shared" si="10"/>
        <v/>
      </c>
      <c r="Z22" s="86">
        <f>'HPC-D Mix'!G11</f>
        <v>0</v>
      </c>
      <c r="AA22" s="102">
        <f t="shared" si="11"/>
        <v>0</v>
      </c>
      <c r="AB22" s="102">
        <f>IF(Z22+5&gt;100,100,IF(Z22+5&gt;10,ROUND(Z22+5,1),ROUND(Z22+5,0)))</f>
        <v>5</v>
      </c>
      <c r="AC22" s="81" t="str">
        <f t="shared" si="12"/>
        <v>No</v>
      </c>
      <c r="AD22" s="101">
        <f t="shared" si="14"/>
        <v>0</v>
      </c>
      <c r="AE22" t="str">
        <f t="shared" si="15"/>
        <v>0-5</v>
      </c>
    </row>
    <row r="23" spans="1:31" ht="21" customHeight="1">
      <c r="A23" s="33" t="s">
        <v>38</v>
      </c>
      <c r="B23" s="199"/>
      <c r="C23" s="29"/>
      <c r="D23" s="31"/>
      <c r="E23" s="29"/>
      <c r="F23" s="29"/>
      <c r="G23" s="194">
        <f>IF($M$23=100,$M23,IF($N$23=100,$N23,IF($O$23=100,$O23,IF($P$23=100,$P23,IF($Q$23=100,$Q23,IF($R$23=100,$R23,$R23))))))</f>
        <v>0.1</v>
      </c>
      <c r="H23" s="194">
        <f t="shared" ref="H23:H28" si="17">IF(H22=0,0,(H22-G23))</f>
        <v>0</v>
      </c>
      <c r="I23" s="195">
        <f t="shared" si="16"/>
        <v>0</v>
      </c>
      <c r="J23" s="204"/>
      <c r="K23" s="17">
        <f>LARGE(M22:M29,2)</f>
        <v>0</v>
      </c>
      <c r="L23" s="17">
        <f>IF(N31&gt;100,K23-0.1,IF(N31&lt;100,K23+0.1,K23))</f>
        <v>0.1</v>
      </c>
      <c r="M23" s="18">
        <f t="shared" ref="M23:M29" si="18">ROUND(IF(B23="",0,SUM(B23/$B$21)*100),1)</f>
        <v>0</v>
      </c>
      <c r="N23" s="15">
        <f t="shared" ref="N23:N29" si="19">IF(M23=$K$22,$L$22,M23)</f>
        <v>0.1</v>
      </c>
      <c r="O23" s="15">
        <f t="shared" ref="O23:O29" si="20">IF(N23=K$23,L$23,N23)</f>
        <v>0.1</v>
      </c>
      <c r="P23" s="15">
        <f t="shared" ref="P23:P29" si="21">IF(O23=K$24,L$24,O23)</f>
        <v>0.1</v>
      </c>
      <c r="Q23" s="15">
        <f t="shared" ref="Q23:Q29" si="22">IF(P23=K$25,L$25,P23)</f>
        <v>0.1</v>
      </c>
      <c r="R23" s="15">
        <f t="shared" ref="R23:R29" si="23">IF(Q23=K$26,L$26,Q23)</f>
        <v>0.1</v>
      </c>
      <c r="T23" s="82" t="s">
        <v>69</v>
      </c>
      <c r="U23" s="83">
        <f>'Grad 1'!I9</f>
        <v>0</v>
      </c>
      <c r="V23" s="83">
        <f>'Grad 1'!I26</f>
        <v>0</v>
      </c>
      <c r="W23" s="83">
        <f>'Grad 1'!I42</f>
        <v>0</v>
      </c>
      <c r="X23" s="84" t="str">
        <f t="shared" si="13"/>
        <v xml:space="preserve"> </v>
      </c>
      <c r="Y23" s="85" t="str">
        <f t="shared" si="10"/>
        <v/>
      </c>
      <c r="Z23" s="86">
        <f>'HPC-D Mix'!G12</f>
        <v>0</v>
      </c>
      <c r="AA23" s="102">
        <f t="shared" si="11"/>
        <v>0</v>
      </c>
      <c r="AB23" s="102">
        <f>IF(Z23+5&gt;100,100,IF(Z23+5&gt;10,ROUND(Z23+5,1),ROUND(Z23+5,0)))</f>
        <v>5</v>
      </c>
      <c r="AC23" s="81" t="str">
        <f t="shared" si="12"/>
        <v>No</v>
      </c>
      <c r="AD23" s="101">
        <f t="shared" si="14"/>
        <v>0</v>
      </c>
      <c r="AE23" t="str">
        <f t="shared" si="15"/>
        <v>0-5</v>
      </c>
    </row>
    <row r="24" spans="1:31" ht="21" customHeight="1">
      <c r="A24" s="33" t="s">
        <v>39</v>
      </c>
      <c r="B24" s="199"/>
      <c r="C24" s="29"/>
      <c r="D24" s="29"/>
      <c r="E24" s="29"/>
      <c r="F24" s="29"/>
      <c r="G24" s="194">
        <f t="shared" ref="G24:G29" si="24">IF($M$14=100,$M24,IF($N$14=100,$N24,IF($O$14=100,$O24,IF($P$14=100,$P24,IF($Q$14=100,$Q24,IF($R$14=100,$R24,$R24))))))</f>
        <v>0.1</v>
      </c>
      <c r="H24" s="194">
        <f t="shared" si="17"/>
        <v>0</v>
      </c>
      <c r="I24" s="195">
        <f t="shared" si="16"/>
        <v>0</v>
      </c>
      <c r="J24" s="20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70</v>
      </c>
      <c r="U24" s="83">
        <f>'Grad 1'!I10</f>
        <v>0</v>
      </c>
      <c r="V24" s="83">
        <f>'Grad 1'!I27</f>
        <v>0</v>
      </c>
      <c r="W24" s="83">
        <f>'Grad 1'!I43</f>
        <v>0</v>
      </c>
      <c r="X24" s="84" t="str">
        <f t="shared" si="13"/>
        <v xml:space="preserve"> </v>
      </c>
      <c r="Y24" s="85" t="str">
        <f t="shared" si="10"/>
        <v/>
      </c>
      <c r="Z24" s="86">
        <f>'HPC-D Mix'!G13</f>
        <v>0</v>
      </c>
      <c r="AA24" s="102">
        <f t="shared" si="11"/>
        <v>0</v>
      </c>
      <c r="AB24" s="102">
        <f>IF(Z24+5&gt;100,100,IF(Z24+5&gt;10,ROUND(Z24+5,1),ROUND(Z24+5,0)))</f>
        <v>5</v>
      </c>
      <c r="AC24" s="81" t="str">
        <f t="shared" si="12"/>
        <v>No</v>
      </c>
      <c r="AD24" s="101">
        <f t="shared" si="14"/>
        <v>0</v>
      </c>
      <c r="AE24" t="str">
        <f t="shared" si="15"/>
        <v>0-5</v>
      </c>
    </row>
    <row r="25" spans="1:31" ht="21" customHeight="1">
      <c r="A25" s="33" t="s">
        <v>40</v>
      </c>
      <c r="B25" s="199"/>
      <c r="C25" s="29"/>
      <c r="D25" s="29"/>
      <c r="E25" s="29"/>
      <c r="F25" s="29"/>
      <c r="G25" s="194">
        <f t="shared" si="24"/>
        <v>0.1</v>
      </c>
      <c r="H25" s="194">
        <f t="shared" si="17"/>
        <v>0</v>
      </c>
      <c r="I25" s="195">
        <f t="shared" si="16"/>
        <v>0</v>
      </c>
      <c r="J25" s="20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71</v>
      </c>
      <c r="U25" s="83">
        <f>'Grad 1'!I11</f>
        <v>0</v>
      </c>
      <c r="V25" s="83">
        <f>'Grad 1'!I28</f>
        <v>0</v>
      </c>
      <c r="W25" s="83">
        <f>'Grad 1'!I44</f>
        <v>0</v>
      </c>
      <c r="X25" s="84" t="str">
        <f t="shared" si="13"/>
        <v xml:space="preserve"> </v>
      </c>
      <c r="Y25" s="85" t="str">
        <f t="shared" si="10"/>
        <v/>
      </c>
      <c r="Z25" s="86">
        <f>'HPC-D Mix'!G14</f>
        <v>0</v>
      </c>
      <c r="AA25" s="102">
        <f>IF((Z25-4)&gt;0,Z25-4,0)</f>
        <v>0</v>
      </c>
      <c r="AB25" s="102">
        <f>IF(Z25+4&gt;10,ROUND(Z25+4,1),ROUND(Z25+4,0))</f>
        <v>4</v>
      </c>
      <c r="AC25" s="81" t="str">
        <f t="shared" si="12"/>
        <v>No</v>
      </c>
      <c r="AD25" s="101">
        <f t="shared" si="14"/>
        <v>0</v>
      </c>
      <c r="AE25" t="str">
        <f t="shared" si="15"/>
        <v>0-4</v>
      </c>
    </row>
    <row r="26" spans="1:31" ht="21" customHeight="1">
      <c r="A26" s="33" t="s">
        <v>41</v>
      </c>
      <c r="B26" s="199"/>
      <c r="C26" s="29"/>
      <c r="D26" s="29"/>
      <c r="E26" s="29"/>
      <c r="F26" s="29"/>
      <c r="G26" s="194">
        <f t="shared" si="24"/>
        <v>0.1</v>
      </c>
      <c r="H26" s="194">
        <f t="shared" si="17"/>
        <v>0</v>
      </c>
      <c r="I26" s="195">
        <f t="shared" si="16"/>
        <v>0</v>
      </c>
      <c r="J26" s="20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72</v>
      </c>
      <c r="U26" s="87">
        <f>U25-($U$25-$U$30)/5</f>
        <v>0</v>
      </c>
      <c r="V26" s="87">
        <f>V25-($V$25-$V$30)/5</f>
        <v>0</v>
      </c>
      <c r="W26" s="83">
        <f>'Grad 1'!I45</f>
        <v>0</v>
      </c>
      <c r="X26" s="84" t="str">
        <f t="shared" si="13"/>
        <v xml:space="preserve"> </v>
      </c>
      <c r="Y26" s="85" t="str">
        <f t="shared" si="10"/>
        <v/>
      </c>
      <c r="Z26" s="86">
        <f>'HPC-D Mix'!G15</f>
        <v>0</v>
      </c>
      <c r="AA26" s="102">
        <f>IF((Z26-4)&gt;0,Z26-4,0)</f>
        <v>0</v>
      </c>
      <c r="AB26" s="102">
        <f>IF(Z26+4&gt;10,ROUND(Z26+4,1),ROUND(Z26+4,0))</f>
        <v>4</v>
      </c>
      <c r="AC26" s="81" t="str">
        <f t="shared" si="12"/>
        <v>No</v>
      </c>
      <c r="AD26" s="101">
        <f t="shared" si="14"/>
        <v>0</v>
      </c>
      <c r="AE26" t="str">
        <f t="shared" si="15"/>
        <v>0-4</v>
      </c>
    </row>
    <row r="27" spans="1:31" ht="21" customHeight="1">
      <c r="A27" s="33" t="s">
        <v>42</v>
      </c>
      <c r="B27" s="199"/>
      <c r="C27" s="29"/>
      <c r="D27" s="29"/>
      <c r="E27" s="29"/>
      <c r="F27" s="29"/>
      <c r="G27" s="194">
        <f t="shared" si="24"/>
        <v>0.1</v>
      </c>
      <c r="H27" s="194">
        <f t="shared" si="17"/>
        <v>0</v>
      </c>
      <c r="I27" s="195">
        <f t="shared" si="16"/>
        <v>0</v>
      </c>
      <c r="J27" s="20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73</v>
      </c>
      <c r="U27" s="87">
        <f>U26-($U$25-$U$30)/5</f>
        <v>0</v>
      </c>
      <c r="V27" s="87">
        <f>V26-($V$25-$V$30)/5</f>
        <v>0</v>
      </c>
      <c r="W27" s="83">
        <f>'Grad 1'!I46</f>
        <v>0</v>
      </c>
      <c r="X27" s="84" t="str">
        <f t="shared" si="13"/>
        <v xml:space="preserve"> </v>
      </c>
      <c r="Y27" s="85" t="str">
        <f t="shared" si="10"/>
        <v/>
      </c>
      <c r="Z27" s="86">
        <f>'HPC-D Mix'!G16</f>
        <v>0</v>
      </c>
      <c r="AA27" s="102">
        <f>IF((Z27-4)&gt;0,Z27-4,0)</f>
        <v>0</v>
      </c>
      <c r="AB27" s="102">
        <f>IF(Z27+4&gt;10,ROUND(Z27+4,1),ROUND(Z27+4,1))</f>
        <v>4</v>
      </c>
      <c r="AC27" s="81" t="str">
        <f t="shared" si="12"/>
        <v>No</v>
      </c>
      <c r="AD27" s="101">
        <f t="shared" si="14"/>
        <v>0</v>
      </c>
      <c r="AE27" t="str">
        <f t="shared" si="15"/>
        <v>0-4</v>
      </c>
    </row>
    <row r="28" spans="1:31" ht="21" customHeight="1" thickBot="1">
      <c r="A28" s="33" t="s">
        <v>43</v>
      </c>
      <c r="B28" s="199"/>
      <c r="C28" s="29"/>
      <c r="D28" s="36" t="s">
        <v>27</v>
      </c>
      <c r="E28" s="29"/>
      <c r="F28" s="29"/>
      <c r="G28" s="194">
        <f t="shared" si="24"/>
        <v>0.1</v>
      </c>
      <c r="H28" s="194">
        <f t="shared" si="17"/>
        <v>0</v>
      </c>
      <c r="I28" s="195">
        <f t="shared" si="16"/>
        <v>0</v>
      </c>
      <c r="J28" s="20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74</v>
      </c>
      <c r="U28" s="87">
        <f>U27-($U$25-$U$30)/5</f>
        <v>0</v>
      </c>
      <c r="V28" s="87">
        <f>V27-($V$25-$V$30)/5</f>
        <v>0</v>
      </c>
      <c r="W28" s="83">
        <f>'Grad 1'!I47</f>
        <v>0</v>
      </c>
      <c r="X28" s="84" t="str">
        <f t="shared" si="13"/>
        <v xml:space="preserve"> </v>
      </c>
      <c r="Y28" s="85" t="str">
        <f t="shared" si="10"/>
        <v/>
      </c>
      <c r="Z28" s="86">
        <f>'HPC-D Mix'!G17</f>
        <v>0</v>
      </c>
      <c r="AA28" s="102">
        <f>IF((Z28-3)&gt;0,Z28-3,0)</f>
        <v>0</v>
      </c>
      <c r="AB28" s="102">
        <f>IF(Z28+3&gt;10,ROUND(Z28+3,0),ROUND(Z28+3,1))</f>
        <v>3</v>
      </c>
      <c r="AC28" s="81" t="str">
        <f t="shared" si="12"/>
        <v>No</v>
      </c>
      <c r="AD28" s="101">
        <f t="shared" si="14"/>
        <v>0</v>
      </c>
      <c r="AE28" t="str">
        <f t="shared" si="15"/>
        <v>0-3</v>
      </c>
    </row>
    <row r="29" spans="1:31" ht="21" customHeight="1" thickBot="1">
      <c r="A29" s="33" t="s">
        <v>46</v>
      </c>
      <c r="B29" s="192"/>
      <c r="C29" s="29"/>
      <c r="D29" s="197">
        <f>IF(B29="",0,SUM(B22:B29))</f>
        <v>0</v>
      </c>
      <c r="E29" s="29"/>
      <c r="F29" s="29"/>
      <c r="G29" s="194">
        <f t="shared" si="24"/>
        <v>0.1</v>
      </c>
      <c r="H29" s="37"/>
      <c r="I29" s="37"/>
      <c r="J29" s="207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75</v>
      </c>
      <c r="U29" s="87">
        <f>U28-($U$25-$U$30)/5</f>
        <v>0</v>
      </c>
      <c r="V29" s="87">
        <f>V28-($V$25-$V$30)/5</f>
        <v>0</v>
      </c>
      <c r="W29" s="83">
        <f>'Grad 1'!I48</f>
        <v>0</v>
      </c>
      <c r="X29" s="84" t="str">
        <f t="shared" si="13"/>
        <v xml:space="preserve"> </v>
      </c>
      <c r="Y29" s="85" t="str">
        <f t="shared" si="10"/>
        <v/>
      </c>
      <c r="Z29" s="86">
        <f>'HPC-D Mix'!G18</f>
        <v>0</v>
      </c>
      <c r="AA29" s="102">
        <f>IF((Z29-2)&gt;0,Z29-2,0)</f>
        <v>0</v>
      </c>
      <c r="AB29" s="102">
        <f>IF(Z29+2&gt;10,ROUND(Z29+2,0),ROUND(Z29+2,1))</f>
        <v>2</v>
      </c>
      <c r="AC29" s="81" t="str">
        <f t="shared" si="12"/>
        <v>No</v>
      </c>
      <c r="AD29" s="101">
        <f t="shared" si="14"/>
        <v>0</v>
      </c>
      <c r="AE29" t="str">
        <f t="shared" si="15"/>
        <v>0-2</v>
      </c>
    </row>
    <row r="30" spans="1:31" ht="21" customHeight="1">
      <c r="A30" s="218" t="s">
        <v>157</v>
      </c>
      <c r="B30" s="200"/>
      <c r="C30" s="37" t="s">
        <v>44</v>
      </c>
      <c r="D30" s="29"/>
      <c r="E30" s="29"/>
      <c r="F30" s="29"/>
      <c r="G30" s="194">
        <f>SUM(G22:G29)</f>
        <v>0.79999999999999993</v>
      </c>
      <c r="H30" s="196"/>
      <c r="I30" s="196"/>
      <c r="J30" s="207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1'!I14</f>
        <v>0</v>
      </c>
      <c r="V30" s="83">
        <f>'Grad 1'!I31</f>
        <v>0</v>
      </c>
      <c r="W30" s="83">
        <f>'Grad 1'!I49</f>
        <v>0</v>
      </c>
      <c r="X30" s="84" t="str">
        <f t="shared" si="13"/>
        <v xml:space="preserve"> </v>
      </c>
      <c r="Y30" s="85" t="str">
        <f t="shared" si="10"/>
        <v/>
      </c>
      <c r="Z30" s="86">
        <f>'HPC-D Mix'!G19</f>
        <v>2</v>
      </c>
      <c r="AA30" s="102">
        <v>0</v>
      </c>
      <c r="AB30" s="102">
        <f>Z30</f>
        <v>2</v>
      </c>
      <c r="AC30" s="81" t="str">
        <f t="shared" si="12"/>
        <v>No</v>
      </c>
      <c r="AD30" s="101">
        <f t="shared" si="14"/>
        <v>0</v>
      </c>
      <c r="AE30" t="str">
        <f t="shared" si="15"/>
        <v>0-2</v>
      </c>
    </row>
    <row r="31" spans="1:31" ht="21" customHeight="1" thickBot="1">
      <c r="A31" s="219" t="s">
        <v>158</v>
      </c>
      <c r="B31" s="201"/>
      <c r="C31" s="37" t="s">
        <v>45</v>
      </c>
      <c r="D31" s="29"/>
      <c r="E31" s="29"/>
      <c r="F31" s="29"/>
      <c r="G31" s="196"/>
      <c r="H31" s="38" t="s">
        <v>17</v>
      </c>
      <c r="I31" s="193">
        <f>ROUND(IF(B34=0,0,SUM(B34/B30)*100),1)</f>
        <v>0</v>
      </c>
      <c r="J31" s="204" t="str">
        <f>IF('Proj Info'!B52=" "," ",'Proj Info'!B52)</f>
        <v>0-2.5</v>
      </c>
      <c r="K31" s="14"/>
      <c r="L31" s="17"/>
      <c r="M31" s="17">
        <f t="shared" ref="M31:R31" si="25">ROUND(IF(M29="",0,SUM(M22:M29)),1)</f>
        <v>0</v>
      </c>
      <c r="N31" s="17">
        <f t="shared" si="25"/>
        <v>0.8</v>
      </c>
      <c r="O31" s="17">
        <f t="shared" si="25"/>
        <v>0.8</v>
      </c>
      <c r="P31" s="17">
        <f t="shared" si="25"/>
        <v>0.8</v>
      </c>
      <c r="Q31" s="17">
        <f t="shared" si="25"/>
        <v>0.8</v>
      </c>
      <c r="R31" s="17">
        <f t="shared" si="25"/>
        <v>0.8</v>
      </c>
      <c r="T31" s="88"/>
      <c r="U31" s="89"/>
      <c r="V31" s="89"/>
      <c r="W31" s="89"/>
      <c r="X31" s="90"/>
      <c r="Y31" s="90"/>
      <c r="Z31" s="91"/>
      <c r="AA31" s="92"/>
      <c r="AB31" s="92"/>
      <c r="AC31" s="76"/>
      <c r="AD31" s="101">
        <f>+SUM(AD19:AD30)</f>
        <v>0</v>
      </c>
      <c r="AE31" t="str">
        <f>IF(AD31=12,"Y","N")</f>
        <v>N</v>
      </c>
    </row>
    <row r="32" spans="1:31" ht="21" customHeight="1" thickTop="1">
      <c r="A32" s="33" t="s">
        <v>46</v>
      </c>
      <c r="B32" s="192"/>
      <c r="C32" s="37" t="s">
        <v>47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142</v>
      </c>
      <c r="Y32" s="170" t="str">
        <f>IF(Y19="","",((100-Y19)+(Y19-Y20)+(Y20-Y21)+(Y21-Y22)+(Y22-Y23))/((100-Y19)+(Y19-Y20)+(Y20-Y21)+(Y21-Y22)+(Y22-Y23)+(Y23-Y24)+(Y24-Y25))*100)</f>
        <v/>
      </c>
    </row>
    <row r="33" spans="1:25" ht="21" customHeight="1">
      <c r="A33" s="33" t="s">
        <v>48</v>
      </c>
      <c r="B33" s="193">
        <f>IF(B31="",0,SUM(B30-B31))</f>
        <v>0</v>
      </c>
      <c r="C33" s="37" t="s">
        <v>49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143</v>
      </c>
      <c r="Y33" s="170" t="str">
        <f>IF(Y25="","",Y25)</f>
        <v/>
      </c>
    </row>
    <row r="34" spans="1:25" ht="21" customHeight="1">
      <c r="A34" s="33" t="s">
        <v>50</v>
      </c>
      <c r="B34" s="202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161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220" t="s">
        <v>160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130" t="s">
        <v>157</v>
      </c>
      <c r="B39" s="192"/>
      <c r="C39" s="557" t="s">
        <v>152</v>
      </c>
      <c r="D39" s="558"/>
      <c r="E39" s="190">
        <f>ROUND(IF(D51=0,0,SUM(D51/B39)*100),1)</f>
        <v>0</v>
      </c>
      <c r="F39" s="31" t="s">
        <v>32</v>
      </c>
      <c r="G39" s="10" t="s">
        <v>53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  <c r="S39" s="12"/>
    </row>
    <row r="40" spans="1:25" ht="21" customHeight="1">
      <c r="A40" s="130" t="s">
        <v>158</v>
      </c>
      <c r="B40" s="192"/>
      <c r="C40" s="29"/>
      <c r="D40" s="559" t="str">
        <f>IF(E39&lt;5,"",IF(E39&lt;99.5,"Check Weights.",IF(E39&gt;100.5,"Check Weights","")))</f>
        <v/>
      </c>
      <c r="E40" s="560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  <c r="S40" s="12"/>
    </row>
    <row r="41" spans="1:25" ht="21" customHeight="1">
      <c r="A41" s="130" t="s">
        <v>110</v>
      </c>
      <c r="B41" s="192"/>
      <c r="C41" s="29"/>
      <c r="D41" s="34"/>
      <c r="E41" s="35"/>
      <c r="F41" s="35"/>
      <c r="G41" s="193">
        <f t="shared" ref="G41:G47" si="26">IF($M$52=100,$M41,IF($N$52=100,$N41,IF($O$52=100,$O41,IF($P$52=100,$P41,IF($Q$52=100,$Q41,IF($R$52=100,$R41,$R41))))))</f>
        <v>0.1</v>
      </c>
      <c r="H41" s="193">
        <f>IF(D51=0,0,100-G41)</f>
        <v>0</v>
      </c>
      <c r="I41" s="203">
        <f>IF(H41&gt;9.9,ROUND(H41,0),ROUND(H41,1))</f>
        <v>0</v>
      </c>
      <c r="J41" s="204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  <c r="S41" s="12"/>
    </row>
    <row r="42" spans="1:25" ht="21" customHeight="1">
      <c r="A42" s="33" t="s">
        <v>41</v>
      </c>
      <c r="B42" s="192"/>
      <c r="C42" s="29"/>
      <c r="D42" s="29"/>
      <c r="E42" s="29"/>
      <c r="F42" s="29"/>
      <c r="G42" s="193">
        <f t="shared" si="26"/>
        <v>0.1</v>
      </c>
      <c r="H42" s="193">
        <f t="shared" ref="H42:H49" si="27">IF(H41=0,0,(H41-G42))</f>
        <v>0</v>
      </c>
      <c r="I42" s="203">
        <f>IF(H42&gt;9.9,ROUND(H42,0),ROUND(H42,1))</f>
        <v>0</v>
      </c>
      <c r="J42" s="204" t="str">
        <f>IF('Proj Info'!B53=" "," ",'Proj Info'!B53)</f>
        <v>100</v>
      </c>
      <c r="K42" s="14"/>
      <c r="L42" s="14"/>
      <c r="M42" s="22">
        <f>ROUND(IF(B42="",0,SUM(B42/$B$39)*100),1)</f>
        <v>0</v>
      </c>
      <c r="N42" s="19">
        <f>IF(M42=K43,L43,M42)</f>
        <v>0.1</v>
      </c>
      <c r="O42" s="23">
        <f>IF(N42=K$44,L$44,N42)</f>
        <v>0.1</v>
      </c>
      <c r="P42" s="23">
        <f>IF(O42=K$45,L$45,O42)</f>
        <v>0.1</v>
      </c>
      <c r="Q42" s="23">
        <f>IF(P42=K$46,L$46,P42)</f>
        <v>0.1</v>
      </c>
      <c r="R42" s="23">
        <f>IF(Q42=K$46,L$46,Q42)</f>
        <v>0.1</v>
      </c>
      <c r="S42" s="12"/>
    </row>
    <row r="43" spans="1:25" ht="21" customHeight="1">
      <c r="A43" s="33" t="s">
        <v>42</v>
      </c>
      <c r="B43" s="192"/>
      <c r="C43" s="29"/>
      <c r="D43" s="29"/>
      <c r="E43" s="29"/>
      <c r="F43" s="29"/>
      <c r="G43" s="193">
        <f t="shared" si="26"/>
        <v>0.1</v>
      </c>
      <c r="H43" s="193">
        <f t="shared" si="27"/>
        <v>0</v>
      </c>
      <c r="I43" s="203">
        <f>IF(H43&gt;9.9,ROUND(H43,0),ROUND(H43,1))</f>
        <v>0</v>
      </c>
      <c r="J43" s="204" t="str">
        <f>IF('Proj Info'!B54=" "," ",'Proj Info'!B54)</f>
        <v>90-100</v>
      </c>
      <c r="K43" s="17">
        <f>LARGE(M43:M47,1)</f>
        <v>0</v>
      </c>
      <c r="L43" s="17">
        <f>IF(M52&lt;100,(K43+0.1),IF(M52&gt;100,(K43-0.1),K43))</f>
        <v>0.1</v>
      </c>
      <c r="M43" s="22">
        <f>ROUND(IF(B43="",0,SUM(B43/$B$39)*100),1)</f>
        <v>0</v>
      </c>
      <c r="N43" s="19">
        <f>IF(M43=$K$43,$L$43,M43)</f>
        <v>0.1</v>
      </c>
      <c r="O43" s="23">
        <f>IF(N43=K$44,L$44,N43)</f>
        <v>0.1</v>
      </c>
      <c r="P43" s="23">
        <f>IF(O43=K$45,L$45,O43)</f>
        <v>0.1</v>
      </c>
      <c r="Q43" s="23">
        <f>IF(P43=K$46,L$46,P43)</f>
        <v>0.1</v>
      </c>
      <c r="R43" s="23">
        <f>IF(Q43=K$47,L$47,Q43)</f>
        <v>0.1</v>
      </c>
      <c r="S43" s="12"/>
    </row>
    <row r="44" spans="1:25" ht="21" customHeight="1">
      <c r="A44" s="33" t="s">
        <v>43</v>
      </c>
      <c r="B44" s="192"/>
      <c r="C44" s="29"/>
      <c r="D44" s="29"/>
      <c r="E44" s="29"/>
      <c r="F44" s="29"/>
      <c r="G44" s="193">
        <f t="shared" si="26"/>
        <v>0.1</v>
      </c>
      <c r="H44" s="193">
        <f t="shared" si="27"/>
        <v>0</v>
      </c>
      <c r="I44" s="203">
        <f t="shared" ref="I44:I49" si="28">IF(H44&gt;9.9,ROUND(H44,0),ROUND(H44,1))</f>
        <v>0</v>
      </c>
      <c r="J44" s="204" t="str">
        <f>IF('Proj Info'!B55=" "," ",'Proj Info'!B55)</f>
        <v>70-100</v>
      </c>
      <c r="K44" s="17">
        <f>LARGE(M43:M47,2)</f>
        <v>0</v>
      </c>
      <c r="L44" s="17">
        <f>IF(N52&lt;100,(K44+0.1),IF(N52&gt;100,(K44-0.1),K44))</f>
        <v>0.1</v>
      </c>
      <c r="M44" s="22">
        <f t="shared" ref="M44:M49" si="29">ROUND(IF(B44="",0,SUM(B44/$B$39)*100),1)</f>
        <v>0</v>
      </c>
      <c r="N44" s="19">
        <f t="shared" ref="N44:N50" si="30">IF(M44=$K$43,$L$43,M44)</f>
        <v>0.1</v>
      </c>
      <c r="O44" s="23">
        <f t="shared" ref="O44:O50" si="31">IF(N44=K$44,L$44,N44)</f>
        <v>0.1</v>
      </c>
      <c r="P44" s="23">
        <f t="shared" ref="P44:P50" si="32">IF(O44=K$45,L$45,O44)</f>
        <v>0.1</v>
      </c>
      <c r="Q44" s="23">
        <f t="shared" ref="Q44:Q50" si="33">IF(P44=K$46,L$46,P44)</f>
        <v>0.1</v>
      </c>
      <c r="R44" s="23">
        <f t="shared" ref="R44:R50" si="34">IF(Q44=K$47,L$47,Q44)</f>
        <v>0.1</v>
      </c>
      <c r="S44" s="12"/>
    </row>
    <row r="45" spans="1:25" ht="21" customHeight="1">
      <c r="A45" s="33" t="s">
        <v>76</v>
      </c>
      <c r="B45" s="192"/>
      <c r="C45" s="29"/>
      <c r="D45" s="29"/>
      <c r="E45" s="29"/>
      <c r="F45" s="29"/>
      <c r="G45" s="193">
        <f t="shared" si="26"/>
        <v>0.1</v>
      </c>
      <c r="H45" s="193">
        <f t="shared" si="27"/>
        <v>0</v>
      </c>
      <c r="I45" s="203">
        <f t="shared" si="28"/>
        <v>0</v>
      </c>
      <c r="J45" s="205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0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4"/>
        <v>0.1</v>
      </c>
      <c r="S45" s="12"/>
    </row>
    <row r="46" spans="1:25" ht="21" customHeight="1">
      <c r="A46" s="33" t="s">
        <v>77</v>
      </c>
      <c r="B46" s="192"/>
      <c r="C46" s="29"/>
      <c r="D46" s="29"/>
      <c r="E46" s="29"/>
      <c r="F46" s="29"/>
      <c r="G46" s="193">
        <f t="shared" si="26"/>
        <v>0.1</v>
      </c>
      <c r="H46" s="193">
        <f t="shared" si="27"/>
        <v>0</v>
      </c>
      <c r="I46" s="203">
        <f t="shared" si="28"/>
        <v>0</v>
      </c>
      <c r="J46" s="204" t="str">
        <f>IF('Proj Info'!B56=" "," ",'Proj Info'!B56)</f>
        <v>10-60</v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0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4"/>
        <v>0.1</v>
      </c>
      <c r="S46" s="12"/>
    </row>
    <row r="47" spans="1:25" ht="21" customHeight="1">
      <c r="A47" s="33" t="s">
        <v>78</v>
      </c>
      <c r="B47" s="192"/>
      <c r="C47" s="29"/>
      <c r="D47" s="29"/>
      <c r="E47" s="29"/>
      <c r="F47" s="29"/>
      <c r="G47" s="193">
        <f t="shared" si="26"/>
        <v>0.1</v>
      </c>
      <c r="H47" s="193">
        <f t="shared" si="27"/>
        <v>0</v>
      </c>
      <c r="I47" s="203">
        <f t="shared" si="28"/>
        <v>0</v>
      </c>
      <c r="J47" s="206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0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4"/>
        <v>0.1</v>
      </c>
      <c r="S47" s="12"/>
    </row>
    <row r="48" spans="1:25" ht="21" customHeight="1">
      <c r="A48" s="33" t="s">
        <v>79</v>
      </c>
      <c r="B48" s="192"/>
      <c r="C48" s="29"/>
      <c r="D48" s="29"/>
      <c r="E48" s="29"/>
      <c r="F48" s="29"/>
      <c r="G48" s="193">
        <f>IF($M$52=100,$M48,IF($N$52=100,$N48,IF($O$52=100,$O48,IF($P$52=100,$P48,IF($Q$52=100,$Q48,IF($R$52=100,$R48,$R48))))))</f>
        <v>0.1</v>
      </c>
      <c r="H48" s="193">
        <f t="shared" si="27"/>
        <v>0</v>
      </c>
      <c r="I48" s="203">
        <f t="shared" si="28"/>
        <v>0</v>
      </c>
      <c r="J48" s="205"/>
      <c r="K48" s="17"/>
      <c r="L48" s="17"/>
      <c r="M48" s="22">
        <f t="shared" si="29"/>
        <v>0</v>
      </c>
      <c r="N48" s="19">
        <f t="shared" si="30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4"/>
        <v>0.1</v>
      </c>
    </row>
    <row r="49" spans="1:18" ht="21" customHeight="1">
      <c r="A49" s="33" t="s">
        <v>80</v>
      </c>
      <c r="B49" s="192"/>
      <c r="C49" s="29"/>
      <c r="D49" s="29"/>
      <c r="E49" s="29"/>
      <c r="F49" s="29"/>
      <c r="G49" s="193">
        <f>IF($M$52=100,$M49,IF($N$52=100,$N49,IF($O$52=100,$O49,IF($P$52=100,$P49,IF($Q$52=100,$Q49,IF($R$52=100,$R49,$R49))))))</f>
        <v>0.1</v>
      </c>
      <c r="H49" s="193">
        <f t="shared" si="27"/>
        <v>0</v>
      </c>
      <c r="I49" s="203">
        <f t="shared" si="28"/>
        <v>0</v>
      </c>
      <c r="J49" s="204" t="str">
        <f>IF('Proj Info'!B57=" "," ",'Proj Info'!B57)</f>
        <v>0-1.5</v>
      </c>
      <c r="K49" s="17"/>
      <c r="L49" s="17"/>
      <c r="M49" s="22">
        <f t="shared" si="29"/>
        <v>0</v>
      </c>
      <c r="N49" s="19">
        <f t="shared" si="30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4"/>
        <v>0.1</v>
      </c>
    </row>
    <row r="50" spans="1:18" ht="21" customHeight="1" thickBot="1">
      <c r="A50" s="33" t="s">
        <v>54</v>
      </c>
      <c r="B50" s="192"/>
      <c r="C50" s="29"/>
      <c r="D50" s="36" t="s">
        <v>27</v>
      </c>
      <c r="E50" s="29"/>
      <c r="F50" s="29"/>
      <c r="G50" s="193">
        <f>IF($M$52=100,$M50,IF($N$52=100,$N50,IF($O$52=100,$O50,IF($P$52=100,$P50,IF($Q$52=100,$Q50,IF($R$52=100,$R50,$R50))))))</f>
        <v>0.1</v>
      </c>
      <c r="H50" s="189"/>
      <c r="I50" s="189"/>
      <c r="J50" s="21"/>
      <c r="K50" s="17"/>
      <c r="L50" s="17"/>
      <c r="M50" s="22">
        <f>ROUND(IF(B50="",0,SUM((B50+B51)/$B$39)*100),1)</f>
        <v>0</v>
      </c>
      <c r="N50" s="19">
        <f t="shared" si="30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4"/>
        <v>0.1</v>
      </c>
    </row>
    <row r="51" spans="1:18" ht="21" customHeight="1" thickBot="1">
      <c r="A51" s="33" t="s">
        <v>55</v>
      </c>
      <c r="B51" s="193">
        <f>IF(B40="",0,SUM(B39-B40))</f>
        <v>0</v>
      </c>
      <c r="C51" s="29"/>
      <c r="D51" s="191">
        <f>IF(B50="",0,SUM(B41:B51))</f>
        <v>0</v>
      </c>
      <c r="E51" s="29"/>
      <c r="F51" s="29"/>
      <c r="G51" s="193">
        <f>IF(G50="",0,SUM(G41:G50))</f>
        <v>0.99999999999999989</v>
      </c>
      <c r="H51" s="189"/>
      <c r="I51" s="189"/>
      <c r="J51" s="21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161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5">ROUND(IF(M50="",0,SUM(M41:M50)),1)</f>
        <v>0</v>
      </c>
      <c r="N52" s="19">
        <f t="shared" si="35"/>
        <v>0.9</v>
      </c>
      <c r="O52" s="19">
        <f t="shared" si="35"/>
        <v>1</v>
      </c>
      <c r="P52" s="19">
        <f t="shared" si="35"/>
        <v>1</v>
      </c>
      <c r="Q52" s="19">
        <f t="shared" si="35"/>
        <v>1</v>
      </c>
      <c r="R52" s="19">
        <f t="shared" si="35"/>
        <v>1</v>
      </c>
    </row>
  </sheetData>
  <sheetProtection algorithmName="SHA-512" hashValue="49VjP1bc2dR+T0MWjA+J88v6YZoky8JO/0G0snNBkzBl7HX1jsPuDIwkEtqFPTR5CAhQpCAxdavu0UBCyFsN8A==" saltValue="ZIiKgoMMFQfsO2cBn3ZH8w==" spinCount="100000" sheet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E52"/>
  <sheetViews>
    <sheetView defaultGridColor="0" view="pageBreakPreview" colorId="22" zoomScale="75" zoomScaleNormal="75" workbookViewId="0">
      <pane xSplit="1" topLeftCell="B1" activePane="topRight" state="frozen"/>
      <selection pane="topRight" activeCell="J24" sqref="J24:J31"/>
    </sheetView>
  </sheetViews>
  <sheetFormatPr defaultColWidth="9.77734375" defaultRowHeight="15"/>
  <cols>
    <col min="1" max="1" width="15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519" t="s">
        <v>476</v>
      </c>
      <c r="B1" s="518"/>
    </row>
    <row r="2" spans="1:29" ht="21" customHeight="1">
      <c r="A2" s="44" t="s">
        <v>159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160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17" t="s">
        <v>157</v>
      </c>
      <c r="B4" s="198"/>
      <c r="C4" s="557" t="s">
        <v>31</v>
      </c>
      <c r="D4" s="561"/>
      <c r="E4" s="190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144</v>
      </c>
      <c r="U4" s="45"/>
      <c r="V4" s="45"/>
      <c r="W4" s="45"/>
      <c r="Y4" s="48" t="s">
        <v>85</v>
      </c>
      <c r="Z4" s="45"/>
    </row>
    <row r="5" spans="1:29" ht="21" customHeight="1" thickTop="1">
      <c r="A5" s="33" t="s">
        <v>37</v>
      </c>
      <c r="B5" s="199"/>
      <c r="C5" s="29"/>
      <c r="D5" s="562" t="str">
        <f>IF(E4&lt;5,"",IF(E4&lt;99.5,"Check Weights.",IF(E4&gt;100.5,"Check Weights","")))</f>
        <v/>
      </c>
      <c r="E5" s="563"/>
      <c r="F5" s="35"/>
      <c r="G5" s="194">
        <f t="shared" ref="G5:G12" si="0">IF($M$14=100,$M5,IF($N$14=100,$N5,IF($O$14=100,$O5,IF($P$14=100,$P5,IF($Q$14=100,$Q5,IF($R$14=100,$R5,$R5))))))</f>
        <v>0.1</v>
      </c>
      <c r="H5" s="194">
        <f>IF(D12=0,0,100)</f>
        <v>0</v>
      </c>
      <c r="I5" s="195">
        <f t="shared" ref="I5:I11" si="1">IF(H5&gt;9.9,ROUND(H5,0),ROUND(H5,1))</f>
        <v>0</v>
      </c>
      <c r="J5" s="13" t="str">
        <f>IF('Proj Info'!B39=" "," ",'Proj Info'!B39)</f>
        <v>100</v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86</v>
      </c>
      <c r="U5" s="50"/>
      <c r="V5" s="50"/>
      <c r="W5" s="51"/>
      <c r="X5" s="52"/>
      <c r="Y5" s="52">
        <f>'HPC-D Mix'!D11</f>
        <v>0</v>
      </c>
      <c r="Z5" s="53" t="e">
        <f>Y5/(SUM($Y$5:$Y$7))</f>
        <v>#DIV/0!</v>
      </c>
    </row>
    <row r="6" spans="1:29" ht="21" customHeight="1">
      <c r="A6" s="33" t="s">
        <v>38</v>
      </c>
      <c r="B6" s="199"/>
      <c r="C6" s="29"/>
      <c r="D6" s="31"/>
      <c r="E6" s="29"/>
      <c r="F6" s="29"/>
      <c r="G6" s="194">
        <f t="shared" si="0"/>
        <v>0.1</v>
      </c>
      <c r="H6" s="194">
        <f t="shared" ref="H6:H11" si="8">IF(H5=0,0,(H5-G6))</f>
        <v>0</v>
      </c>
      <c r="I6" s="195">
        <f t="shared" si="1"/>
        <v>0</v>
      </c>
      <c r="J6" s="13" t="str">
        <f>IF('Proj Info'!B40=" "," ",'Proj Info'!B40)</f>
        <v>95-100</v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87</v>
      </c>
      <c r="U6" s="55"/>
      <c r="V6" s="55"/>
      <c r="W6" s="56"/>
      <c r="X6" s="57"/>
      <c r="Y6" s="58">
        <f>'HPC-D Mix'!D12</f>
        <v>0</v>
      </c>
      <c r="Z6" s="59" t="e">
        <f>Y6/(SUM($Y$5:$Y$7))</f>
        <v>#DIV/0!</v>
      </c>
    </row>
    <row r="7" spans="1:29" ht="21" customHeight="1" thickBot="1">
      <c r="A7" s="33" t="s">
        <v>39</v>
      </c>
      <c r="B7" s="199"/>
      <c r="C7" s="29"/>
      <c r="D7" s="29"/>
      <c r="E7" s="29"/>
      <c r="F7" s="29"/>
      <c r="G7" s="194">
        <f t="shared" si="0"/>
        <v>0.1</v>
      </c>
      <c r="H7" s="194">
        <f t="shared" si="8"/>
        <v>0</v>
      </c>
      <c r="I7" s="195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88</v>
      </c>
      <c r="U7" s="61"/>
      <c r="V7" s="61"/>
      <c r="W7" s="62"/>
      <c r="X7" s="63"/>
      <c r="Y7" s="64">
        <f>'HPC-D Mix'!D13</f>
        <v>0</v>
      </c>
      <c r="Z7" s="65" t="e">
        <f>Y7/(SUM($Y$5:Y$7))</f>
        <v>#DIV/0!</v>
      </c>
    </row>
    <row r="8" spans="1:29" ht="21" customHeight="1" thickTop="1">
      <c r="A8" s="33" t="s">
        <v>40</v>
      </c>
      <c r="B8" s="199"/>
      <c r="C8" s="29"/>
      <c r="D8" s="29"/>
      <c r="E8" s="29"/>
      <c r="F8" s="29"/>
      <c r="G8" s="194">
        <f t="shared" si="0"/>
        <v>0.1</v>
      </c>
      <c r="H8" s="194">
        <f t="shared" si="8"/>
        <v>0</v>
      </c>
      <c r="I8" s="195">
        <f t="shared" si="1"/>
        <v>0</v>
      </c>
      <c r="J8" s="13" t="str">
        <f>IF('Proj Info'!B42=" "," ",'Proj Info'!B42)</f>
        <v>25-60</v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41</v>
      </c>
      <c r="B9" s="199"/>
      <c r="C9" s="29"/>
      <c r="D9" s="29"/>
      <c r="E9" s="29"/>
      <c r="F9" s="29"/>
      <c r="G9" s="194">
        <f t="shared" si="0"/>
        <v>0.1</v>
      </c>
      <c r="H9" s="194">
        <f t="shared" si="8"/>
        <v>0</v>
      </c>
      <c r="I9" s="195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42</v>
      </c>
      <c r="B10" s="199"/>
      <c r="C10" s="29"/>
      <c r="D10" s="29"/>
      <c r="E10" s="29"/>
      <c r="F10" s="29"/>
      <c r="G10" s="194">
        <f t="shared" si="0"/>
        <v>0.1</v>
      </c>
      <c r="H10" s="194">
        <f t="shared" si="8"/>
        <v>0</v>
      </c>
      <c r="I10" s="195">
        <f t="shared" si="1"/>
        <v>0</v>
      </c>
      <c r="J10" s="13" t="str">
        <f>IF('Proj Info'!B44=" "," ",'Proj Info'!B44)</f>
        <v>0-10</v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43</v>
      </c>
      <c r="B11" s="199"/>
      <c r="C11" s="29"/>
      <c r="D11" s="36" t="s">
        <v>27</v>
      </c>
      <c r="E11" s="29"/>
      <c r="F11" s="29"/>
      <c r="G11" s="194">
        <f t="shared" si="0"/>
        <v>0.1</v>
      </c>
      <c r="H11" s="194">
        <f t="shared" si="8"/>
        <v>0</v>
      </c>
      <c r="I11" s="195">
        <f t="shared" si="1"/>
        <v>0</v>
      </c>
      <c r="J11" s="13" t="str">
        <f>IF('Proj Info'!B45=" "," ",'Proj Info'!B45)</f>
        <v>0-5</v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46</v>
      </c>
      <c r="B12" s="192"/>
      <c r="C12" s="29"/>
      <c r="D12" s="197">
        <f>IF(B12="",0,SUM(B5:B12))</f>
        <v>0</v>
      </c>
      <c r="E12" s="29"/>
      <c r="F12" s="29"/>
      <c r="G12" s="194">
        <f t="shared" si="0"/>
        <v>0.1</v>
      </c>
      <c r="H12" s="37"/>
      <c r="I12" s="37"/>
      <c r="J12" s="221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101</v>
      </c>
      <c r="U12" s="45"/>
      <c r="V12" s="45"/>
      <c r="W12" s="45"/>
      <c r="X12" s="48"/>
      <c r="Y12" s="48"/>
      <c r="Z12" s="45"/>
      <c r="AA12" s="93"/>
      <c r="AB12" s="93"/>
      <c r="AC12" s="94"/>
    </row>
    <row r="13" spans="1:29" ht="21" customHeight="1" thickBot="1">
      <c r="A13" s="218" t="s">
        <v>157</v>
      </c>
      <c r="B13" s="200"/>
      <c r="C13" s="37" t="s">
        <v>44</v>
      </c>
      <c r="D13" s="29"/>
      <c r="E13" s="29"/>
      <c r="F13" s="29"/>
      <c r="G13" s="194">
        <f>SUM(G5:G12)</f>
        <v>0.79999999999999993</v>
      </c>
      <c r="H13" s="196"/>
      <c r="I13" s="196"/>
      <c r="J13" s="221"/>
      <c r="K13" s="14"/>
      <c r="L13" s="14"/>
      <c r="M13" s="16"/>
      <c r="N13" s="17"/>
      <c r="O13" s="19"/>
      <c r="P13" s="19"/>
      <c r="Q13" s="19"/>
      <c r="R13" s="19"/>
      <c r="U13" s="66"/>
      <c r="V13" s="66"/>
      <c r="W13" s="66"/>
      <c r="X13" s="95"/>
      <c r="Y13" s="95"/>
      <c r="Z13" s="66"/>
      <c r="AA13" s="66"/>
      <c r="AB13" s="66"/>
    </row>
    <row r="14" spans="1:29" ht="21" customHeight="1" thickTop="1">
      <c r="A14" s="219" t="s">
        <v>158</v>
      </c>
      <c r="B14" s="201"/>
      <c r="C14" s="37" t="s">
        <v>45</v>
      </c>
      <c r="D14" s="29"/>
      <c r="E14" s="29"/>
      <c r="F14" s="29"/>
      <c r="G14" s="196"/>
      <c r="H14" s="38" t="s">
        <v>17</v>
      </c>
      <c r="I14" s="193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89</v>
      </c>
      <c r="Z14" s="68" t="s">
        <v>90</v>
      </c>
      <c r="AA14" s="68" t="s">
        <v>90</v>
      </c>
      <c r="AB14" s="68" t="s">
        <v>90</v>
      </c>
      <c r="AC14" s="69"/>
    </row>
    <row r="15" spans="1:29" ht="21" customHeight="1">
      <c r="A15" s="33" t="s">
        <v>46</v>
      </c>
      <c r="B15" s="192"/>
      <c r="C15" s="37" t="s">
        <v>47</v>
      </c>
      <c r="D15" s="29"/>
      <c r="E15" s="29"/>
      <c r="F15" s="29"/>
      <c r="G15" s="189"/>
      <c r="H15" s="196"/>
      <c r="I15" s="196"/>
      <c r="J15" s="221"/>
      <c r="K15" s="14"/>
      <c r="L15" s="14"/>
      <c r="M15" s="14"/>
      <c r="N15" s="14"/>
      <c r="O15" s="14"/>
      <c r="P15" s="14"/>
      <c r="Q15" s="14"/>
      <c r="R15" s="14"/>
      <c r="T15" s="70" t="s">
        <v>91</v>
      </c>
      <c r="U15" s="71" t="s">
        <v>16</v>
      </c>
      <c r="V15" s="71" t="s">
        <v>16</v>
      </c>
      <c r="W15" s="71" t="s">
        <v>16</v>
      </c>
      <c r="X15" s="71"/>
      <c r="Y15" s="71" t="s">
        <v>92</v>
      </c>
      <c r="Z15" s="71" t="s">
        <v>93</v>
      </c>
      <c r="AA15" s="71" t="s">
        <v>94</v>
      </c>
      <c r="AB15" s="71" t="s">
        <v>95</v>
      </c>
      <c r="AC15" s="72" t="s">
        <v>96</v>
      </c>
    </row>
    <row r="16" spans="1:29" ht="21" customHeight="1">
      <c r="A16" s="33" t="s">
        <v>48</v>
      </c>
      <c r="B16" s="193">
        <f>IF(B14="",0,SUM(B13-B14))</f>
        <v>0</v>
      </c>
      <c r="C16" s="37" t="s">
        <v>49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97</v>
      </c>
      <c r="U16" s="71" t="s">
        <v>82</v>
      </c>
      <c r="V16" s="71" t="s">
        <v>82</v>
      </c>
      <c r="W16" s="71" t="s">
        <v>82</v>
      </c>
      <c r="X16" s="71"/>
      <c r="Y16" s="71" t="s">
        <v>98</v>
      </c>
      <c r="Z16" s="71" t="s">
        <v>98</v>
      </c>
      <c r="AA16" s="71" t="s">
        <v>98</v>
      </c>
      <c r="AB16" s="71" t="s">
        <v>98</v>
      </c>
      <c r="AC16" s="73" t="s">
        <v>93</v>
      </c>
    </row>
    <row r="17" spans="1:31" ht="21" customHeight="1" thickBot="1">
      <c r="A17" s="33" t="s">
        <v>50</v>
      </c>
      <c r="B17" s="202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99</v>
      </c>
      <c r="V17" s="75" t="s">
        <v>99</v>
      </c>
      <c r="W17" s="75" t="s">
        <v>99</v>
      </c>
      <c r="X17" s="75"/>
      <c r="Y17" s="75" t="s">
        <v>99</v>
      </c>
      <c r="Z17" s="75" t="s">
        <v>99</v>
      </c>
      <c r="AA17" s="75" t="s">
        <v>99</v>
      </c>
      <c r="AB17" s="75" t="s">
        <v>99</v>
      </c>
      <c r="AC17" s="76"/>
    </row>
    <row r="18" spans="1:31" ht="21" customHeight="1" thickTop="1">
      <c r="A18" s="33" t="s">
        <v>161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100</v>
      </c>
      <c r="U19" s="83">
        <f>'Grad 2'!I5</f>
        <v>0</v>
      </c>
      <c r="V19" s="83">
        <f>'Grad 2'!I22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85" t="str">
        <f t="shared" ref="Y19:Y30" si="10">IF(ISNUMBER(X19),((IF(X19&gt;9.9,ROUND(X19,0),ROUND(X19,1)))),"")</f>
        <v/>
      </c>
      <c r="Z19" s="83">
        <f>'Grad 1'!Z19</f>
        <v>100</v>
      </c>
      <c r="AA19" s="102">
        <f t="shared" ref="AA19:AA24" si="11">IF((Z19-5)&gt;0,Z19-5,0)</f>
        <v>95</v>
      </c>
      <c r="AB19" s="102">
        <f t="shared" ref="AB19:AB24" si="12">IF(Z19+5&gt;100,100,Z19+5)</f>
        <v>100</v>
      </c>
      <c r="AC19" s="81" t="str">
        <f t="shared" ref="AC19:AC30" si="13">IF(AND(AA19&lt;=X19,X19&lt;=AB19),"Yes","No")</f>
        <v>No</v>
      </c>
      <c r="AD19" s="101">
        <f>IF(AC19="YES",1,0)</f>
        <v>0</v>
      </c>
      <c r="AE19" t="str">
        <f>CONCATENATE(AA19,"-",AB19)</f>
        <v>95-100</v>
      </c>
    </row>
    <row r="20" spans="1:31" ht="21" customHeight="1">
      <c r="A20" s="25" t="s">
        <v>160</v>
      </c>
      <c r="B20" s="26"/>
      <c r="C20" s="27"/>
      <c r="D20" s="28"/>
      <c r="E20" s="29"/>
      <c r="F20" s="29"/>
      <c r="G20" s="10" t="s">
        <v>51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66</v>
      </c>
      <c r="U20" s="83">
        <f>'Grad 2'!I6</f>
        <v>0</v>
      </c>
      <c r="V20" s="83">
        <f>'Grad 2'!I23</f>
        <v>0</v>
      </c>
      <c r="W20" s="83">
        <v>100</v>
      </c>
      <c r="X20" s="84" t="str">
        <f t="shared" ref="X20:X30" si="14">IF($B$4=0," ",IF($B$20=" ",U20*$Z$5+W20*$Z$7,U20*$Z$5+V20*$Z$6+W20*Z$7))</f>
        <v xml:space="preserve"> </v>
      </c>
      <c r="Y20" s="85" t="str">
        <f t="shared" si="10"/>
        <v/>
      </c>
      <c r="Z20" s="83">
        <f>'Grad 1'!Z20</f>
        <v>0</v>
      </c>
      <c r="AA20" s="102">
        <f t="shared" si="11"/>
        <v>0</v>
      </c>
      <c r="AB20" s="102">
        <f t="shared" si="12"/>
        <v>5</v>
      </c>
      <c r="AC20" s="81" t="str">
        <f t="shared" si="13"/>
        <v>No</v>
      </c>
      <c r="AD20" s="101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217" t="s">
        <v>157</v>
      </c>
      <c r="B21" s="198"/>
      <c r="C21" s="557" t="s">
        <v>31</v>
      </c>
      <c r="D21" s="561"/>
      <c r="E21" s="190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67</v>
      </c>
      <c r="U21" s="83">
        <f>'Grad 2'!I7</f>
        <v>0</v>
      </c>
      <c r="V21" s="83">
        <f>'Grad 2'!I24</f>
        <v>0</v>
      </c>
      <c r="W21" s="83">
        <v>100</v>
      </c>
      <c r="X21" s="84" t="str">
        <f t="shared" si="14"/>
        <v xml:space="preserve"> </v>
      </c>
      <c r="Y21" s="85" t="str">
        <f t="shared" si="10"/>
        <v/>
      </c>
      <c r="Z21" s="83">
        <f>'Grad 1'!Z21</f>
        <v>0</v>
      </c>
      <c r="AA21" s="102">
        <f t="shared" si="11"/>
        <v>0</v>
      </c>
      <c r="AB21" s="102">
        <f t="shared" si="12"/>
        <v>5</v>
      </c>
      <c r="AC21" s="81" t="str">
        <f t="shared" si="13"/>
        <v>No</v>
      </c>
      <c r="AD21" s="101">
        <f t="shared" si="15"/>
        <v>0</v>
      </c>
      <c r="AE21" t="str">
        <f t="shared" si="16"/>
        <v>0-5</v>
      </c>
    </row>
    <row r="22" spans="1:31" ht="21" customHeight="1">
      <c r="A22" s="33" t="s">
        <v>37</v>
      </c>
      <c r="B22" s="199"/>
      <c r="C22" s="29"/>
      <c r="D22" s="562" t="str">
        <f>IF(E21&lt;5,"",IF(E21&lt;99.5,"Check Weights.",IF(E21&gt;100.5,"Check Weights","")))</f>
        <v/>
      </c>
      <c r="E22" s="563"/>
      <c r="F22" s="35"/>
      <c r="G22" s="194">
        <f>IF($M$22=100,$M22,IF($N$22=100,$N22,IF($O$22=100,$O22,IF($P$22=100,$P22,IF($Q$22=100,$Q22,IF($R$22=100,$R22,$R22))))))</f>
        <v>0.1</v>
      </c>
      <c r="H22" s="194">
        <f>IF(D29=0,0,100)</f>
        <v>0</v>
      </c>
      <c r="I22" s="195">
        <f t="shared" ref="I22:I28" si="17">IF(H22&gt;9.9,ROUND(H22,0),ROUND(H22,1))</f>
        <v>0</v>
      </c>
      <c r="J22" s="204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68</v>
      </c>
      <c r="U22" s="83">
        <f>'Grad 2'!I8</f>
        <v>0</v>
      </c>
      <c r="V22" s="83">
        <f>'Grad 2'!I25</f>
        <v>0</v>
      </c>
      <c r="W22" s="83">
        <f>'Grad 2'!I41</f>
        <v>0</v>
      </c>
      <c r="X22" s="84" t="str">
        <f t="shared" si="14"/>
        <v xml:space="preserve"> </v>
      </c>
      <c r="Y22" s="85" t="str">
        <f t="shared" si="10"/>
        <v/>
      </c>
      <c r="Z22" s="83">
        <f>'Grad 1'!Z22</f>
        <v>0</v>
      </c>
      <c r="AA22" s="102">
        <f t="shared" si="11"/>
        <v>0</v>
      </c>
      <c r="AB22" s="102">
        <f t="shared" si="12"/>
        <v>5</v>
      </c>
      <c r="AC22" s="81" t="str">
        <f t="shared" si="13"/>
        <v>No</v>
      </c>
      <c r="AD22" s="101">
        <f t="shared" si="15"/>
        <v>0</v>
      </c>
      <c r="AE22" t="str">
        <f t="shared" si="16"/>
        <v>0-5</v>
      </c>
    </row>
    <row r="23" spans="1:31" ht="21" customHeight="1">
      <c r="A23" s="33" t="s">
        <v>38</v>
      </c>
      <c r="B23" s="199"/>
      <c r="C23" s="29"/>
      <c r="D23" s="31"/>
      <c r="E23" s="29"/>
      <c r="F23" s="29"/>
      <c r="G23" s="194">
        <f>IF($M$23=100,$M23,IF($N$23=100,$N23,IF($O$23=100,$O23,IF($P$23=100,$P23,IF($Q$23=100,$Q23,IF($R$23=100,$R23,$R23))))))</f>
        <v>0.1</v>
      </c>
      <c r="H23" s="194">
        <f t="shared" ref="H23:H28" si="18">IF(H22=0,0,(H22-G23))</f>
        <v>0</v>
      </c>
      <c r="I23" s="195">
        <f t="shared" si="17"/>
        <v>0</v>
      </c>
      <c r="J23" s="204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T23" s="82" t="s">
        <v>69</v>
      </c>
      <c r="U23" s="83">
        <f>'Grad 2'!I9</f>
        <v>0</v>
      </c>
      <c r="V23" s="83">
        <f>'Grad 2'!I26</f>
        <v>0</v>
      </c>
      <c r="W23" s="83">
        <f>'Grad 2'!I42</f>
        <v>0</v>
      </c>
      <c r="X23" s="84" t="str">
        <f t="shared" si="14"/>
        <v xml:space="preserve"> </v>
      </c>
      <c r="Y23" s="85" t="str">
        <f t="shared" si="10"/>
        <v/>
      </c>
      <c r="Z23" s="83">
        <f>'Grad 1'!Z23</f>
        <v>0</v>
      </c>
      <c r="AA23" s="102">
        <f t="shared" si="11"/>
        <v>0</v>
      </c>
      <c r="AB23" s="102">
        <f t="shared" si="12"/>
        <v>5</v>
      </c>
      <c r="AC23" s="81" t="str">
        <f t="shared" si="13"/>
        <v>No</v>
      </c>
      <c r="AD23" s="101">
        <f t="shared" si="15"/>
        <v>0</v>
      </c>
      <c r="AE23" t="str">
        <f t="shared" si="16"/>
        <v>0-5</v>
      </c>
    </row>
    <row r="24" spans="1:31" ht="21" customHeight="1">
      <c r="A24" s="33" t="s">
        <v>39</v>
      </c>
      <c r="B24" s="199"/>
      <c r="C24" s="29"/>
      <c r="D24" s="29"/>
      <c r="E24" s="29"/>
      <c r="F24" s="29"/>
      <c r="G24" s="194">
        <f t="shared" ref="G24:G29" si="25">IF($M$14=100,$M24,IF($N$14=100,$N24,IF($O$14=100,$O24,IF($P$14=100,$P24,IF($Q$14=100,$Q24,IF($R$14=100,$R24,$R24))))))</f>
        <v>0.1</v>
      </c>
      <c r="H24" s="194">
        <f t="shared" si="18"/>
        <v>0</v>
      </c>
      <c r="I24" s="195">
        <f t="shared" si="17"/>
        <v>0</v>
      </c>
      <c r="J24" s="20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T24" s="82" t="s">
        <v>70</v>
      </c>
      <c r="U24" s="83">
        <f>'Grad 2'!I10</f>
        <v>0</v>
      </c>
      <c r="V24" s="83">
        <f>'Grad 2'!I27</f>
        <v>0</v>
      </c>
      <c r="W24" s="83">
        <f>'Grad 2'!I43</f>
        <v>0</v>
      </c>
      <c r="X24" s="84" t="str">
        <f t="shared" si="14"/>
        <v xml:space="preserve"> </v>
      </c>
      <c r="Y24" s="85" t="str">
        <f t="shared" si="10"/>
        <v/>
      </c>
      <c r="Z24" s="83">
        <f>'Grad 1'!Z24</f>
        <v>0</v>
      </c>
      <c r="AA24" s="102">
        <f t="shared" si="11"/>
        <v>0</v>
      </c>
      <c r="AB24" s="102">
        <f t="shared" si="12"/>
        <v>5</v>
      </c>
      <c r="AC24" s="81" t="str">
        <f t="shared" si="13"/>
        <v>No</v>
      </c>
      <c r="AD24" s="101">
        <f t="shared" si="15"/>
        <v>0</v>
      </c>
      <c r="AE24" t="str">
        <f t="shared" si="16"/>
        <v>0-5</v>
      </c>
    </row>
    <row r="25" spans="1:31" ht="21" customHeight="1">
      <c r="A25" s="33" t="s">
        <v>40</v>
      </c>
      <c r="B25" s="199"/>
      <c r="C25" s="29"/>
      <c r="D25" s="29"/>
      <c r="E25" s="29"/>
      <c r="F25" s="29"/>
      <c r="G25" s="194">
        <f t="shared" si="25"/>
        <v>0.1</v>
      </c>
      <c r="H25" s="194">
        <f t="shared" si="18"/>
        <v>0</v>
      </c>
      <c r="I25" s="195">
        <f t="shared" si="17"/>
        <v>0</v>
      </c>
      <c r="J25" s="20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T25" s="82" t="s">
        <v>71</v>
      </c>
      <c r="U25" s="83">
        <f>'Grad 2'!I11</f>
        <v>0</v>
      </c>
      <c r="V25" s="83">
        <f>'Grad 2'!I28</f>
        <v>0</v>
      </c>
      <c r="W25" s="83">
        <f>'Grad 2'!I44</f>
        <v>0</v>
      </c>
      <c r="X25" s="84" t="str">
        <f t="shared" si="14"/>
        <v xml:space="preserve"> </v>
      </c>
      <c r="Y25" s="85" t="str">
        <f t="shared" si="10"/>
        <v/>
      </c>
      <c r="Z25" s="83">
        <f>'Grad 1'!Z25</f>
        <v>0</v>
      </c>
      <c r="AA25" s="102">
        <f>IF((Z25-4)&gt;0,Z25-4,0)</f>
        <v>0</v>
      </c>
      <c r="AB25" s="102">
        <f>Z25+4</f>
        <v>4</v>
      </c>
      <c r="AC25" s="81" t="str">
        <f t="shared" si="13"/>
        <v>No</v>
      </c>
      <c r="AD25" s="101">
        <f t="shared" si="15"/>
        <v>0</v>
      </c>
      <c r="AE25" t="str">
        <f t="shared" si="16"/>
        <v>0-4</v>
      </c>
    </row>
    <row r="26" spans="1:31" ht="21" customHeight="1">
      <c r="A26" s="33" t="s">
        <v>41</v>
      </c>
      <c r="B26" s="199"/>
      <c r="C26" s="29"/>
      <c r="D26" s="29"/>
      <c r="E26" s="29"/>
      <c r="F26" s="29"/>
      <c r="G26" s="194">
        <f t="shared" si="25"/>
        <v>0.1</v>
      </c>
      <c r="H26" s="194">
        <f t="shared" si="18"/>
        <v>0</v>
      </c>
      <c r="I26" s="195">
        <f t="shared" si="17"/>
        <v>0</v>
      </c>
      <c r="J26" s="20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T26" s="82" t="s">
        <v>72</v>
      </c>
      <c r="U26" s="87">
        <f>U25-($U$25-$U$30)/5</f>
        <v>0</v>
      </c>
      <c r="V26" s="87">
        <f>V25-($V$25-$V$30)/5</f>
        <v>0</v>
      </c>
      <c r="W26" s="83">
        <f>'Grad 2'!I45</f>
        <v>0</v>
      </c>
      <c r="X26" s="84" t="str">
        <f t="shared" si="14"/>
        <v xml:space="preserve"> </v>
      </c>
      <c r="Y26" s="85" t="str">
        <f t="shared" si="10"/>
        <v/>
      </c>
      <c r="Z26" s="83">
        <f>'Grad 1'!Z26</f>
        <v>0</v>
      </c>
      <c r="AA26" s="102">
        <f>IF((Z26-4)&gt;0,Z26-4,0)</f>
        <v>0</v>
      </c>
      <c r="AB26" s="102">
        <f>Z26+4</f>
        <v>4</v>
      </c>
      <c r="AC26" s="81" t="str">
        <f t="shared" si="13"/>
        <v>No</v>
      </c>
      <c r="AD26" s="101">
        <f t="shared" si="15"/>
        <v>0</v>
      </c>
      <c r="AE26" t="str">
        <f t="shared" si="16"/>
        <v>0-4</v>
      </c>
    </row>
    <row r="27" spans="1:31" ht="21" customHeight="1">
      <c r="A27" s="33" t="s">
        <v>42</v>
      </c>
      <c r="B27" s="199"/>
      <c r="C27" s="29"/>
      <c r="D27" s="29"/>
      <c r="E27" s="29"/>
      <c r="F27" s="29"/>
      <c r="G27" s="194">
        <f t="shared" si="25"/>
        <v>0.1</v>
      </c>
      <c r="H27" s="194">
        <f t="shared" si="18"/>
        <v>0</v>
      </c>
      <c r="I27" s="195">
        <f t="shared" si="17"/>
        <v>0</v>
      </c>
      <c r="J27" s="204" t="str">
        <f>IF('Proj Info'!B50=" "," ",'Proj Info'!B50)</f>
        <v>0-30</v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T27" s="82" t="s">
        <v>73</v>
      </c>
      <c r="U27" s="87">
        <f>U26-($U$25-$U$30)/5</f>
        <v>0</v>
      </c>
      <c r="V27" s="87">
        <f>V26-($V$25-$V$30)/5</f>
        <v>0</v>
      </c>
      <c r="W27" s="83">
        <f>'Grad 2'!I46</f>
        <v>0</v>
      </c>
      <c r="X27" s="84" t="str">
        <f t="shared" si="14"/>
        <v xml:space="preserve"> </v>
      </c>
      <c r="Y27" s="85" t="str">
        <f t="shared" si="10"/>
        <v/>
      </c>
      <c r="Z27" s="83">
        <f>'Grad 1'!Z27</f>
        <v>0</v>
      </c>
      <c r="AA27" s="102">
        <f>IF((Z27-4)&gt;0,Z27-4,0)</f>
        <v>0</v>
      </c>
      <c r="AB27" s="102">
        <f>Z27+4</f>
        <v>4</v>
      </c>
      <c r="AC27" s="81" t="str">
        <f t="shared" si="13"/>
        <v>No</v>
      </c>
      <c r="AD27" s="101">
        <f t="shared" si="15"/>
        <v>0</v>
      </c>
      <c r="AE27" t="str">
        <f t="shared" si="16"/>
        <v>0-4</v>
      </c>
    </row>
    <row r="28" spans="1:31" ht="21" customHeight="1" thickBot="1">
      <c r="A28" s="33" t="s">
        <v>43</v>
      </c>
      <c r="B28" s="199"/>
      <c r="C28" s="29"/>
      <c r="D28" s="36" t="s">
        <v>27</v>
      </c>
      <c r="E28" s="29"/>
      <c r="F28" s="29"/>
      <c r="G28" s="194">
        <f t="shared" si="25"/>
        <v>0.1</v>
      </c>
      <c r="H28" s="194">
        <f t="shared" si="18"/>
        <v>0</v>
      </c>
      <c r="I28" s="195">
        <f t="shared" si="17"/>
        <v>0</v>
      </c>
      <c r="J28" s="204" t="str">
        <f>IF('Proj Info'!B51=" "," ",'Proj Info'!B51)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T28" s="82" t="s">
        <v>74</v>
      </c>
      <c r="U28" s="87">
        <f>U27-($U$25-$U$30)/5</f>
        <v>0</v>
      </c>
      <c r="V28" s="87">
        <f>V27-($V$25-$V$30)/5</f>
        <v>0</v>
      </c>
      <c r="W28" s="83">
        <f>'Grad 2'!I47</f>
        <v>0</v>
      </c>
      <c r="X28" s="84" t="str">
        <f t="shared" si="14"/>
        <v xml:space="preserve"> </v>
      </c>
      <c r="Y28" s="85" t="str">
        <f t="shared" si="10"/>
        <v/>
      </c>
      <c r="Z28" s="83">
        <f>'Grad 1'!Z28</f>
        <v>0</v>
      </c>
      <c r="AA28" s="102">
        <f>IF((Z28-3)&gt;0,Z28-3,0)</f>
        <v>0</v>
      </c>
      <c r="AB28" s="102">
        <f>Z28+3</f>
        <v>3</v>
      </c>
      <c r="AC28" s="81" t="str">
        <f t="shared" si="13"/>
        <v>No</v>
      </c>
      <c r="AD28" s="101">
        <f t="shared" si="15"/>
        <v>0</v>
      </c>
      <c r="AE28" t="str">
        <f t="shared" si="16"/>
        <v>0-3</v>
      </c>
    </row>
    <row r="29" spans="1:31" ht="21" customHeight="1" thickBot="1">
      <c r="A29" s="33" t="s">
        <v>46</v>
      </c>
      <c r="B29" s="192"/>
      <c r="C29" s="29"/>
      <c r="D29" s="197">
        <f>IF(B29="",0,SUM(B22:B29))</f>
        <v>0</v>
      </c>
      <c r="E29" s="29"/>
      <c r="F29" s="29"/>
      <c r="G29" s="194">
        <f t="shared" si="25"/>
        <v>0.1</v>
      </c>
      <c r="H29" s="37"/>
      <c r="I29" s="37"/>
      <c r="J29" s="207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T29" s="82" t="s">
        <v>75</v>
      </c>
      <c r="U29" s="87">
        <f>U28-($U$25-$U$30)/5</f>
        <v>0</v>
      </c>
      <c r="V29" s="87">
        <f>V28-($V$25-$V$30)/5</f>
        <v>0</v>
      </c>
      <c r="W29" s="83">
        <f>'Grad 2'!I48</f>
        <v>0</v>
      </c>
      <c r="X29" s="84" t="str">
        <f t="shared" si="14"/>
        <v xml:space="preserve"> </v>
      </c>
      <c r="Y29" s="85" t="str">
        <f t="shared" si="10"/>
        <v/>
      </c>
      <c r="Z29" s="83">
        <f>'Grad 1'!Z29</f>
        <v>0</v>
      </c>
      <c r="AA29" s="102">
        <f>IF((Z29-2)&gt;0,Z29-2,0)</f>
        <v>0</v>
      </c>
      <c r="AB29" s="102">
        <f>Z29+2</f>
        <v>2</v>
      </c>
      <c r="AC29" s="81" t="str">
        <f t="shared" si="13"/>
        <v>No</v>
      </c>
      <c r="AD29" s="101">
        <f t="shared" si="15"/>
        <v>0</v>
      </c>
      <c r="AE29" t="str">
        <f t="shared" si="16"/>
        <v>0-2</v>
      </c>
    </row>
    <row r="30" spans="1:31" ht="21" customHeight="1">
      <c r="A30" s="218" t="s">
        <v>157</v>
      </c>
      <c r="B30" s="200"/>
      <c r="C30" s="37" t="s">
        <v>44</v>
      </c>
      <c r="D30" s="29"/>
      <c r="E30" s="29"/>
      <c r="F30" s="29"/>
      <c r="G30" s="194">
        <f>SUM(G22:G29)</f>
        <v>0.79999999999999993</v>
      </c>
      <c r="H30" s="196"/>
      <c r="I30" s="196"/>
      <c r="J30" s="207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2'!$I$14</f>
        <v>0</v>
      </c>
      <c r="V30" s="83">
        <f>'Grad 2'!$I$31</f>
        <v>0</v>
      </c>
      <c r="W30" s="83">
        <f>'Grad 2'!I49</f>
        <v>0</v>
      </c>
      <c r="X30" s="84" t="str">
        <f t="shared" si="14"/>
        <v xml:space="preserve"> </v>
      </c>
      <c r="Y30" s="85" t="str">
        <f t="shared" si="10"/>
        <v/>
      </c>
      <c r="Z30" s="83">
        <f>'Grad 1'!Z30</f>
        <v>2</v>
      </c>
      <c r="AA30" s="102">
        <v>0</v>
      </c>
      <c r="AB30" s="83">
        <f>Z30</f>
        <v>2</v>
      </c>
      <c r="AC30" s="81" t="str">
        <f t="shared" si="13"/>
        <v>No</v>
      </c>
      <c r="AD30" s="101">
        <f t="shared" si="15"/>
        <v>0</v>
      </c>
      <c r="AE30" t="str">
        <f t="shared" si="16"/>
        <v>0-2</v>
      </c>
    </row>
    <row r="31" spans="1:31" ht="21" customHeight="1" thickBot="1">
      <c r="A31" s="219" t="s">
        <v>158</v>
      </c>
      <c r="B31" s="201"/>
      <c r="C31" s="37" t="s">
        <v>45</v>
      </c>
      <c r="D31" s="29"/>
      <c r="E31" s="29"/>
      <c r="F31" s="29"/>
      <c r="G31" s="196"/>
      <c r="H31" s="38" t="s">
        <v>17</v>
      </c>
      <c r="I31" s="193">
        <f>ROUND(IF(B34=0,0,SUM(B34/B30)*100),1)</f>
        <v>0</v>
      </c>
      <c r="J31" s="204" t="str">
        <f>IF('Proj Info'!B52=" "," ",'Proj Info'!B52)</f>
        <v>0-2.5</v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8"/>
      <c r="U31" s="92"/>
      <c r="V31" s="92"/>
      <c r="W31" s="92"/>
      <c r="X31" s="90"/>
      <c r="Y31" s="90"/>
      <c r="Z31" s="96"/>
      <c r="AA31" s="92"/>
      <c r="AB31" s="92"/>
      <c r="AC31" s="76"/>
      <c r="AD31" s="101">
        <f>+SUM(AD19:AD30)</f>
        <v>0</v>
      </c>
      <c r="AE31" t="str">
        <f>IF(AD31=12,"Y","N")</f>
        <v>N</v>
      </c>
    </row>
    <row r="32" spans="1:31" ht="21" customHeight="1" thickTop="1">
      <c r="A32" s="33" t="s">
        <v>46</v>
      </c>
      <c r="B32" s="192"/>
      <c r="C32" s="37" t="s">
        <v>47</v>
      </c>
      <c r="D32" s="29"/>
      <c r="E32" s="29"/>
      <c r="F32" s="29"/>
      <c r="G32" s="189"/>
      <c r="H32" s="196"/>
      <c r="I32" s="196"/>
      <c r="J32" s="221"/>
      <c r="K32" s="14"/>
      <c r="L32" s="14"/>
      <c r="M32" s="14"/>
      <c r="N32" s="14"/>
      <c r="O32" s="14"/>
      <c r="P32" s="14"/>
      <c r="Q32" s="14"/>
      <c r="R32" s="14"/>
      <c r="X32" t="s">
        <v>142</v>
      </c>
      <c r="Y32" s="170" t="str">
        <f>IF(Y19="","",((100-Y19)+(Y19-Y20)+(Y20-Y21)+(Y21-Y22)+(Y22-Y23))/((100-Y19)+(Y19-Y20)+(Y20-Y21)+(Y21-Y22)+(Y22-Y23)+(Y23-Y24)+(Y24-Y25))*100)</f>
        <v/>
      </c>
    </row>
    <row r="33" spans="1:25" ht="21" customHeight="1">
      <c r="A33" s="33" t="s">
        <v>48</v>
      </c>
      <c r="B33" s="193">
        <f>IF(B31="",0,SUM(B30-B31))</f>
        <v>0</v>
      </c>
      <c r="C33" s="37" t="s">
        <v>49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143</v>
      </c>
      <c r="Y33" s="170" t="str">
        <f>IF(Y25="","",Y25)</f>
        <v/>
      </c>
    </row>
    <row r="34" spans="1:25" ht="21" customHeight="1">
      <c r="A34" s="33" t="s">
        <v>50</v>
      </c>
      <c r="B34" s="202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29"/>
      <c r="B35" s="29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220" t="s">
        <v>160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130" t="s">
        <v>157</v>
      </c>
      <c r="B39" s="192"/>
      <c r="C39" s="557" t="s">
        <v>52</v>
      </c>
      <c r="D39" s="558"/>
      <c r="E39" s="190">
        <f>ROUND(IF(D51=0,0,SUM(D51/B39)*100),1)</f>
        <v>0</v>
      </c>
      <c r="F39" s="31" t="s">
        <v>32</v>
      </c>
      <c r="G39" s="10" t="s">
        <v>53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130" t="s">
        <v>158</v>
      </c>
      <c r="B40" s="192"/>
      <c r="C40" s="29"/>
      <c r="D40" s="562" t="str">
        <f>IF(E39&lt;5,"",IF(E39&lt;99.5,"Check Weights.",IF(E39&gt;100.5,"Check Weights","")))</f>
        <v/>
      </c>
      <c r="E40" s="563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130" t="s">
        <v>110</v>
      </c>
      <c r="B41" s="192"/>
      <c r="C41" s="29"/>
      <c r="D41" s="34"/>
      <c r="E41" s="35"/>
      <c r="F41" s="35"/>
      <c r="G41" s="193">
        <f>IF($M$52=100,$M41,IF($N$52=100,$N41,IF($O$52=100,$O41,IF($P$52=100,$P41,IF($Q$52=100,$Q41,IF($R$52=100,$R41,$R41))))))</f>
        <v>0.1</v>
      </c>
      <c r="H41" s="193">
        <f>IF(D51=0,0,100-G41)</f>
        <v>0</v>
      </c>
      <c r="I41" s="203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</row>
    <row r="42" spans="1:25" ht="21" customHeight="1">
      <c r="A42" s="33" t="s">
        <v>41</v>
      </c>
      <c r="B42" s="192"/>
      <c r="C42" s="29"/>
      <c r="D42" s="29"/>
      <c r="E42" s="29"/>
      <c r="F42" s="29"/>
      <c r="G42" s="193">
        <f t="shared" ref="G42:G47" si="27">IF($M$52=100,$M42,IF($N$52=100,$N42,IF($O$52=100,$O42,IF($P$52=100,$P42,IF($Q$52=100,$Q42,IF($R$52=100,$R42,$R42))))))</f>
        <v>0.1</v>
      </c>
      <c r="H42" s="193">
        <f t="shared" ref="H42:H49" si="28">IF(H41=0,0,(H41-G42))</f>
        <v>0</v>
      </c>
      <c r="I42" s="203">
        <f t="shared" ref="I42:I49" si="29">IF(H42&gt;9.9,ROUND(H42,0),ROUND(H42,1))</f>
        <v>0</v>
      </c>
      <c r="J42" s="13" t="str">
        <f>IF('Proj Info'!B53=" "," ",'Proj Info'!B53)</f>
        <v>100</v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</row>
    <row r="43" spans="1:25" ht="21" customHeight="1">
      <c r="A43" s="33" t="s">
        <v>42</v>
      </c>
      <c r="B43" s="192"/>
      <c r="C43" s="29"/>
      <c r="D43" s="29"/>
      <c r="E43" s="29"/>
      <c r="F43" s="29"/>
      <c r="G43" s="193">
        <f t="shared" si="27"/>
        <v>0.1</v>
      </c>
      <c r="H43" s="193">
        <f t="shared" si="28"/>
        <v>0</v>
      </c>
      <c r="I43" s="203">
        <f t="shared" si="29"/>
        <v>0</v>
      </c>
      <c r="J43" s="13" t="str">
        <f>IF('Proj Info'!B54=" "," ",'Proj Info'!B54)</f>
        <v>90-100</v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</row>
    <row r="44" spans="1:25" ht="21" customHeight="1">
      <c r="A44" s="33" t="s">
        <v>43</v>
      </c>
      <c r="B44" s="192"/>
      <c r="C44" s="29"/>
      <c r="D44" s="29"/>
      <c r="E44" s="29"/>
      <c r="F44" s="29"/>
      <c r="G44" s="193">
        <f t="shared" si="27"/>
        <v>0.1</v>
      </c>
      <c r="H44" s="193">
        <f t="shared" si="28"/>
        <v>0</v>
      </c>
      <c r="I44" s="203">
        <f t="shared" si="29"/>
        <v>0</v>
      </c>
      <c r="J44" s="13" t="str">
        <f>IF('Proj Info'!B55=" "," ",'Proj Info'!B55)</f>
        <v>70-100</v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25" ht="21" customHeight="1">
      <c r="A45" s="33" t="s">
        <v>76</v>
      </c>
      <c r="B45" s="192"/>
      <c r="C45" s="29"/>
      <c r="D45" s="29"/>
      <c r="E45" s="29"/>
      <c r="F45" s="29"/>
      <c r="G45" s="193">
        <f t="shared" si="27"/>
        <v>0.1</v>
      </c>
      <c r="H45" s="193">
        <f t="shared" si="28"/>
        <v>0</v>
      </c>
      <c r="I45" s="203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25" ht="21" customHeight="1">
      <c r="A46" s="33" t="s">
        <v>77</v>
      </c>
      <c r="B46" s="192"/>
      <c r="C46" s="29"/>
      <c r="D46" s="29"/>
      <c r="E46" s="29"/>
      <c r="F46" s="29"/>
      <c r="G46" s="193">
        <f t="shared" si="27"/>
        <v>0.1</v>
      </c>
      <c r="H46" s="193">
        <f t="shared" si="28"/>
        <v>0</v>
      </c>
      <c r="I46" s="203">
        <f t="shared" si="29"/>
        <v>0</v>
      </c>
      <c r="J46" s="13" t="str">
        <f>IF('Proj Info'!B56=" "," ",'Proj Info'!B56)</f>
        <v>10-60</v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25" ht="21" customHeight="1">
      <c r="A47" s="33" t="s">
        <v>78</v>
      </c>
      <c r="B47" s="192"/>
      <c r="C47" s="29"/>
      <c r="D47" s="29"/>
      <c r="E47" s="29"/>
      <c r="F47" s="29"/>
      <c r="G47" s="193">
        <f t="shared" si="27"/>
        <v>0.1</v>
      </c>
      <c r="H47" s="193">
        <f t="shared" si="28"/>
        <v>0</v>
      </c>
      <c r="I47" s="203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25" ht="21" customHeight="1">
      <c r="A48" s="33" t="s">
        <v>79</v>
      </c>
      <c r="B48" s="192"/>
      <c r="C48" s="29"/>
      <c r="D48" s="29"/>
      <c r="E48" s="29"/>
      <c r="F48" s="29"/>
      <c r="G48" s="193">
        <f>IF($M$52=100,$M48,IF($N$52=100,$N48,IF($O$52=100,$O48,IF($P$52=100,$P48,IF($Q$52=100,$Q48,IF($R$52=100,$R48,$R48))))))</f>
        <v>0.1</v>
      </c>
      <c r="H48" s="193">
        <f t="shared" si="28"/>
        <v>0</v>
      </c>
      <c r="I48" s="203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80</v>
      </c>
      <c r="B49" s="192"/>
      <c r="C49" s="29"/>
      <c r="D49" s="29"/>
      <c r="E49" s="29"/>
      <c r="F49" s="29"/>
      <c r="G49" s="193">
        <f>IF($M$52=100,$M49,IF($N$52=100,$N49,IF($O$52=100,$O49,IF($P$52=100,$P49,IF($Q$52=100,$Q49,IF($R$52=100,$R49,$R49))))))</f>
        <v>0.1</v>
      </c>
      <c r="H49" s="193">
        <f t="shared" si="28"/>
        <v>0</v>
      </c>
      <c r="I49" s="203">
        <f t="shared" si="29"/>
        <v>0</v>
      </c>
      <c r="J49" s="13" t="str">
        <f>IF('Proj Info'!B57=" "," ",'Proj Info'!B57)</f>
        <v>0-1.5</v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54</v>
      </c>
      <c r="B50" s="192"/>
      <c r="C50" s="29"/>
      <c r="D50" s="36" t="s">
        <v>27</v>
      </c>
      <c r="E50" s="29"/>
      <c r="F50" s="29"/>
      <c r="G50" s="193">
        <f>IF($M$52=100,$M50,IF($N$52=100,$N50,IF($O$52=100,$O50,IF($P$52=100,$P50,IF($Q$52=100,$Q50,IF($R$52=100,$R50,$R50))))))</f>
        <v>0.1</v>
      </c>
      <c r="H50" s="189"/>
      <c r="I50" s="189"/>
      <c r="J50" s="189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55</v>
      </c>
      <c r="B51" s="193">
        <f>IF(B40="",0,SUM(B39-B40))</f>
        <v>0</v>
      </c>
      <c r="C51" s="29"/>
      <c r="D51" s="191">
        <f>IF(B50="",0,SUM(B41:B51))</f>
        <v>0</v>
      </c>
      <c r="E51" s="29"/>
      <c r="F51" s="29"/>
      <c r="G51" s="193">
        <f>IF(G50="",0,SUM(G41:G50))</f>
        <v>0.99999999999999989</v>
      </c>
      <c r="H51" s="189"/>
      <c r="I51" s="189"/>
      <c r="J51" s="189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161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2vg5MGjFP3LfzT8wxN4/r/h0doJKecgKD1MfEq6UxnaTbOxf8VDYcil50BIb4Qp4VvSad1UwQ9L0yrVbeWAJtQ==" saltValue="8KTXWjC+tt6pg7ToknBNbA==" spinCount="100000" sheet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Index</vt:lpstr>
      <vt:lpstr>Proj Info</vt:lpstr>
      <vt:lpstr>Plantinf</vt:lpstr>
      <vt:lpstr>E213</vt:lpstr>
      <vt:lpstr>E215</vt:lpstr>
      <vt:lpstr>E210</vt:lpstr>
      <vt:lpstr>HPC-D Mix</vt:lpstr>
      <vt:lpstr>Grad 1</vt:lpstr>
      <vt:lpstr>Grad 2</vt:lpstr>
      <vt:lpstr>Grad 3</vt:lpstr>
      <vt:lpstr>Grad 4</vt:lpstr>
      <vt:lpstr>Grad 5</vt:lpstr>
      <vt:lpstr>821283C</vt:lpstr>
      <vt:lpstr>CPI Grad</vt:lpstr>
      <vt:lpstr>IM 216</vt:lpstr>
      <vt:lpstr>E114</vt:lpstr>
      <vt:lpstr>M114</vt:lpstr>
      <vt:lpstr>Diary3</vt:lpstr>
      <vt:lpstr>Diary4</vt:lpstr>
      <vt:lpstr>'821283C'!Print_Area</vt:lpstr>
      <vt:lpstr>'Grad 1'!Print_Area</vt:lpstr>
      <vt:lpstr>'Grad 2'!Print_Area</vt:lpstr>
      <vt:lpstr>'Grad 3'!Print_Area</vt:lpstr>
      <vt:lpstr>'Grad 4'!Print_Area</vt:lpstr>
      <vt:lpstr>'Grad 5'!Print_Area</vt:lpstr>
      <vt:lpstr>'Proj Info'!Print_Area</vt:lpstr>
    </vt:vector>
  </TitlesOfParts>
  <Company>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</dc:creator>
  <cp:lastModifiedBy>Hanson, Todd [DOT]</cp:lastModifiedBy>
  <cp:lastPrinted>2023-04-20T16:15:01Z</cp:lastPrinted>
  <dcterms:created xsi:type="dcterms:W3CDTF">2000-02-28T16:48:30Z</dcterms:created>
  <dcterms:modified xsi:type="dcterms:W3CDTF">2023-04-20T16:18:01Z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