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W:\Highway\LocalSystems\Secondary Roads\HBP Funds\FFY2023\"/>
    </mc:Choice>
  </mc:AlternateContent>
  <xr:revisionPtr revIDLastSave="0" documentId="13_ncr:1_{EDB91D57-DA0C-4DA6-9EE8-C8E8457E642F}" xr6:coauthVersionLast="47" xr6:coauthVersionMax="47" xr10:uidLastSave="{00000000-0000-0000-0000-000000000000}"/>
  <bookViews>
    <workbookView xWindow="29550" yWindow="315" windowWidth="27660" windowHeight="16080"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Worksheet!$A$1:$Y$104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7" l="1"/>
  <c r="I5" i="17"/>
  <c r="F6" i="88"/>
  <c r="E5" i="88"/>
  <c r="F4" i="88"/>
  <c r="C4" i="88"/>
  <c r="E3" i="64"/>
  <c r="U83" i="104" l="1"/>
  <c r="T83" i="104"/>
  <c r="U56" i="104"/>
  <c r="T56" i="104"/>
  <c r="U54" i="104"/>
  <c r="T54" i="104"/>
  <c r="U52" i="104"/>
  <c r="T52" i="104"/>
  <c r="U49" i="104"/>
  <c r="T49" i="104"/>
  <c r="U13" i="104"/>
  <c r="T13" i="104"/>
  <c r="U11" i="104"/>
  <c r="T11" i="104"/>
  <c r="U8" i="104"/>
  <c r="T8" i="104"/>
  <c r="D9" i="30"/>
  <c r="D5" i="57"/>
  <c r="D7" i="58"/>
  <c r="D7" i="60"/>
  <c r="D11" i="99"/>
  <c r="D10" i="99"/>
  <c r="D7" i="101"/>
  <c r="D7" i="9"/>
  <c r="D6" i="9"/>
  <c r="W80" i="104"/>
  <c r="R80" i="104"/>
  <c r="S80" i="104"/>
  <c r="D4" i="33"/>
  <c r="R17" i="104"/>
  <c r="S94" i="104"/>
  <c r="R94" i="104"/>
  <c r="S49" i="104"/>
  <c r="R49" i="104"/>
  <c r="S41" i="104"/>
  <c r="R41" i="104"/>
  <c r="S59" i="104"/>
  <c r="R59" i="104"/>
  <c r="S85" i="104"/>
  <c r="R85" i="104"/>
  <c r="S44" i="104"/>
  <c r="R44" i="104"/>
  <c r="C7" i="95"/>
  <c r="B7" i="95"/>
  <c r="C4" i="33"/>
  <c r="D9" i="19"/>
  <c r="D7" i="63"/>
  <c r="D3" i="71"/>
  <c r="F4" i="71"/>
  <c r="F5" i="71"/>
  <c r="F6" i="71"/>
  <c r="F7" i="71"/>
  <c r="F8" i="71"/>
  <c r="F9" i="71"/>
  <c r="F10" i="71"/>
  <c r="F11" i="71"/>
  <c r="F12" i="71"/>
  <c r="F13" i="71"/>
  <c r="F14" i="71"/>
  <c r="F15" i="71"/>
  <c r="F16" i="71"/>
  <c r="F17" i="71"/>
  <c r="D10" i="54"/>
  <c r="D9" i="54"/>
  <c r="D11" i="28"/>
  <c r="D7" i="68"/>
  <c r="M103" i="104"/>
  <c r="M102" i="104"/>
  <c r="M101" i="104"/>
  <c r="M100" i="104"/>
  <c r="M99" i="104"/>
  <c r="M98" i="104"/>
  <c r="M97" i="104"/>
  <c r="M96" i="104"/>
  <c r="M95" i="104"/>
  <c r="M94" i="104"/>
  <c r="M93" i="104"/>
  <c r="M92" i="104"/>
  <c r="M91" i="104"/>
  <c r="M90" i="104"/>
  <c r="M89" i="104"/>
  <c r="M88" i="104"/>
  <c r="M87" i="104"/>
  <c r="M86" i="104"/>
  <c r="M85" i="104"/>
  <c r="M84" i="104"/>
  <c r="M83" i="104"/>
  <c r="M82" i="104"/>
  <c r="M81" i="104"/>
  <c r="M80" i="104"/>
  <c r="M79" i="104"/>
  <c r="M78" i="104"/>
  <c r="M77" i="104"/>
  <c r="M76" i="104"/>
  <c r="M75" i="104"/>
  <c r="M74" i="104"/>
  <c r="M73" i="104"/>
  <c r="M72" i="104"/>
  <c r="M71" i="104"/>
  <c r="M70" i="104"/>
  <c r="M69" i="104"/>
  <c r="M68" i="104"/>
  <c r="M67" i="104"/>
  <c r="M66" i="104"/>
  <c r="M65" i="104"/>
  <c r="M64" i="104"/>
  <c r="M63" i="104"/>
  <c r="M62" i="104"/>
  <c r="M61" i="104"/>
  <c r="M60" i="104"/>
  <c r="M59" i="104"/>
  <c r="M58" i="104"/>
  <c r="M57" i="104"/>
  <c r="M56" i="104"/>
  <c r="M55" i="104"/>
  <c r="M54" i="104"/>
  <c r="M53" i="104"/>
  <c r="M52" i="104"/>
  <c r="M51" i="104"/>
  <c r="M50" i="104"/>
  <c r="M49" i="104"/>
  <c r="M48" i="104"/>
  <c r="M47" i="104"/>
  <c r="M46" i="104"/>
  <c r="M45" i="104"/>
  <c r="M44" i="104"/>
  <c r="M43" i="104"/>
  <c r="M42" i="104"/>
  <c r="M41" i="104"/>
  <c r="M40" i="104"/>
  <c r="M39" i="104"/>
  <c r="M38" i="104"/>
  <c r="M37" i="104"/>
  <c r="M36" i="104"/>
  <c r="M35" i="104"/>
  <c r="M34" i="104"/>
  <c r="M33" i="104"/>
  <c r="M32" i="104"/>
  <c r="M31" i="104"/>
  <c r="M30" i="104"/>
  <c r="M29" i="104"/>
  <c r="M28" i="104"/>
  <c r="M27" i="104"/>
  <c r="M26" i="104"/>
  <c r="M25" i="104"/>
  <c r="M24" i="104"/>
  <c r="M23" i="104"/>
  <c r="M22" i="104"/>
  <c r="M21" i="104"/>
  <c r="M20" i="104"/>
  <c r="M19" i="104"/>
  <c r="M18" i="104"/>
  <c r="M17" i="104"/>
  <c r="M16" i="104"/>
  <c r="M15" i="104"/>
  <c r="M14" i="104"/>
  <c r="M13" i="104"/>
  <c r="M12" i="104"/>
  <c r="M11" i="104"/>
  <c r="M10" i="104"/>
  <c r="M9" i="104"/>
  <c r="M8" i="104"/>
  <c r="M7" i="104"/>
  <c r="M6" i="104"/>
  <c r="M5" i="104"/>
  <c r="BD73" i="104"/>
  <c r="BC73" i="104"/>
  <c r="BD77" i="104"/>
  <c r="BC77" i="104"/>
  <c r="BD66" i="104"/>
  <c r="BC66" i="104"/>
  <c r="D8" i="36"/>
  <c r="D5" i="47"/>
  <c r="F6" i="47"/>
  <c r="F7" i="47"/>
  <c r="F8" i="47"/>
  <c r="F9" i="47"/>
  <c r="F10" i="47"/>
  <c r="F11" i="47"/>
  <c r="F12" i="47"/>
  <c r="F13" i="47"/>
  <c r="F14" i="47"/>
  <c r="F15" i="47"/>
  <c r="F16" i="47"/>
  <c r="F17" i="47"/>
  <c r="F18" i="47"/>
  <c r="F19" i="47"/>
  <c r="F20" i="47"/>
  <c r="F21" i="47"/>
  <c r="F5" i="47"/>
  <c r="B9" i="4"/>
  <c r="C22" i="4"/>
  <c r="B22" i="4"/>
  <c r="BB103" i="104"/>
  <c r="BA103" i="104"/>
  <c r="BB76" i="104"/>
  <c r="BA76" i="104"/>
  <c r="D5" i="11"/>
  <c r="D4" i="37"/>
  <c r="AZ78" i="104"/>
  <c r="AY78" i="104"/>
  <c r="AZ67" i="104"/>
  <c r="AY67" i="104"/>
  <c r="D7" i="35"/>
  <c r="D6" i="35"/>
  <c r="D5" i="46"/>
  <c r="AX38" i="104"/>
  <c r="AW38" i="104"/>
  <c r="D5" i="74"/>
  <c r="AV99" i="104"/>
  <c r="AU99" i="104"/>
  <c r="AV85" i="104"/>
  <c r="AU85" i="104"/>
  <c r="AV73" i="104"/>
  <c r="AU73" i="104"/>
  <c r="AV44" i="104"/>
  <c r="AU44" i="104"/>
  <c r="AV35" i="104"/>
  <c r="AU35" i="104"/>
  <c r="AV21" i="104"/>
  <c r="AU21" i="104"/>
  <c r="D5" i="15"/>
  <c r="D10" i="28"/>
  <c r="D6" i="40"/>
  <c r="D6" i="68"/>
  <c r="D5" i="77"/>
  <c r="D4" i="77"/>
  <c r="D4" i="91"/>
  <c r="F4" i="91"/>
  <c r="F5" i="91"/>
  <c r="F6" i="91"/>
  <c r="F7" i="91"/>
  <c r="F8" i="91"/>
  <c r="F9" i="91"/>
  <c r="F10" i="91"/>
  <c r="F11" i="91"/>
  <c r="F12" i="91"/>
  <c r="F13" i="91"/>
  <c r="F14" i="91"/>
  <c r="F15" i="91"/>
  <c r="AT37" i="104"/>
  <c r="AS37" i="104"/>
  <c r="D14" i="75"/>
  <c r="D13" i="75"/>
  <c r="AR48" i="104"/>
  <c r="AQ48" i="104"/>
  <c r="D4" i="64"/>
  <c r="AP101" i="104"/>
  <c r="AO101" i="104"/>
  <c r="AP70" i="104"/>
  <c r="AO70" i="104"/>
  <c r="AP16" i="104"/>
  <c r="AO16" i="104"/>
  <c r="D10" i="13"/>
  <c r="D6" i="43"/>
  <c r="D6" i="96"/>
  <c r="H6" i="96"/>
  <c r="D7" i="95" l="1"/>
  <c r="S17" i="104" s="1"/>
  <c r="AL103" i="104"/>
  <c r="AK103" i="104"/>
  <c r="AL61" i="104"/>
  <c r="AK61" i="104"/>
  <c r="AL54" i="104"/>
  <c r="AK54" i="104"/>
  <c r="AL52" i="104"/>
  <c r="AK52" i="104"/>
  <c r="AL28" i="104"/>
  <c r="AK28" i="104"/>
  <c r="AL23" i="104"/>
  <c r="AK23" i="104"/>
  <c r="AL19" i="104"/>
  <c r="AK19" i="104"/>
  <c r="AL16" i="104"/>
  <c r="AK16" i="104"/>
  <c r="D4" i="11"/>
  <c r="D4" i="52"/>
  <c r="F5" i="52"/>
  <c r="F6" i="52"/>
  <c r="F7" i="52"/>
  <c r="F8" i="52"/>
  <c r="F9" i="52"/>
  <c r="F10" i="52"/>
  <c r="F11" i="52"/>
  <c r="F12" i="52"/>
  <c r="F13" i="52"/>
  <c r="F14" i="52"/>
  <c r="F15" i="52"/>
  <c r="F16" i="52"/>
  <c r="F17" i="52"/>
  <c r="F18" i="52"/>
  <c r="F19" i="52"/>
  <c r="D6" i="58"/>
  <c r="D6" i="60"/>
  <c r="D5" i="84"/>
  <c r="F7" i="59" l="1"/>
  <c r="D10" i="89"/>
  <c r="D11" i="93"/>
  <c r="D5" i="96"/>
  <c r="D4" i="96"/>
  <c r="AJ100" i="104"/>
  <c r="AJ94" i="104"/>
  <c r="AJ93" i="104"/>
  <c r="AJ59" i="104"/>
  <c r="AJ53" i="104"/>
  <c r="AJ49" i="104"/>
  <c r="AJ39" i="104"/>
  <c r="AJ31" i="104"/>
  <c r="AJ23" i="104"/>
  <c r="AJ20" i="104"/>
  <c r="AJ18" i="104"/>
  <c r="AI100" i="104"/>
  <c r="AI94" i="104"/>
  <c r="AI93" i="104"/>
  <c r="AI59" i="104"/>
  <c r="AI53" i="104"/>
  <c r="AI49" i="104"/>
  <c r="AI39" i="104"/>
  <c r="AI31" i="104"/>
  <c r="AI23" i="104"/>
  <c r="AI20" i="104"/>
  <c r="AI18" i="104"/>
  <c r="AH89" i="104"/>
  <c r="AH85" i="104"/>
  <c r="AH68" i="104"/>
  <c r="AH65" i="104"/>
  <c r="AH50" i="104"/>
  <c r="AH46" i="104"/>
  <c r="AH31" i="104"/>
  <c r="AH26" i="104"/>
  <c r="AH20" i="104"/>
  <c r="AH19" i="104"/>
  <c r="AH15" i="104"/>
  <c r="AH11" i="104"/>
  <c r="AH8" i="104"/>
  <c r="AH5" i="104"/>
  <c r="AG89" i="104"/>
  <c r="AG85" i="104"/>
  <c r="AG68" i="104"/>
  <c r="AG65" i="104"/>
  <c r="AG50" i="104"/>
  <c r="AG46" i="104"/>
  <c r="AG31" i="104"/>
  <c r="AG26" i="104"/>
  <c r="AG20" i="104"/>
  <c r="AG19" i="104"/>
  <c r="AG15" i="104"/>
  <c r="AG11" i="104"/>
  <c r="AG8" i="104"/>
  <c r="AG5" i="104"/>
  <c r="D9" i="14"/>
  <c r="D8" i="14"/>
  <c r="D7" i="14"/>
  <c r="D8" i="19"/>
  <c r="D6" i="20"/>
  <c r="F5" i="20"/>
  <c r="F6" i="20"/>
  <c r="F7" i="20"/>
  <c r="F8" i="20"/>
  <c r="F9" i="20"/>
  <c r="F10" i="20"/>
  <c r="F11" i="20"/>
  <c r="F12" i="20"/>
  <c r="F13" i="20"/>
  <c r="F14" i="20"/>
  <c r="F15" i="20"/>
  <c r="F16" i="20"/>
  <c r="F17" i="20"/>
  <c r="F18" i="20"/>
  <c r="F19" i="20"/>
  <c r="F20" i="20"/>
  <c r="F21" i="20"/>
  <c r="D8" i="54"/>
  <c r="D8" i="59"/>
  <c r="D6" i="63"/>
  <c r="D12" i="73"/>
  <c r="D11" i="73"/>
  <c r="D10" i="73"/>
  <c r="D9" i="73"/>
  <c r="F7" i="73"/>
  <c r="F8" i="73"/>
  <c r="F9" i="73"/>
  <c r="F10" i="73"/>
  <c r="F11" i="73"/>
  <c r="F12" i="73"/>
  <c r="F13" i="73"/>
  <c r="F14" i="73"/>
  <c r="F15" i="73"/>
  <c r="F16" i="73"/>
  <c r="F17" i="73"/>
  <c r="F18" i="73"/>
  <c r="F19" i="73"/>
  <c r="F20" i="73"/>
  <c r="F21" i="73"/>
  <c r="D8" i="81"/>
  <c r="D6" i="82"/>
  <c r="F5" i="82"/>
  <c r="F6" i="82"/>
  <c r="F7" i="82"/>
  <c r="F8" i="82"/>
  <c r="F9" i="82"/>
  <c r="F10" i="82"/>
  <c r="F11" i="82"/>
  <c r="F12" i="82"/>
  <c r="F13" i="82"/>
  <c r="F14" i="82"/>
  <c r="F15" i="82"/>
  <c r="F16" i="82"/>
  <c r="F17" i="82"/>
  <c r="F18" i="82"/>
  <c r="F19" i="82"/>
  <c r="D9" i="89"/>
  <c r="D7" i="92"/>
  <c r="D5" i="94"/>
  <c r="D5" i="62" l="1"/>
  <c r="D5" i="24"/>
  <c r="D9" i="28"/>
  <c r="D6" i="45"/>
  <c r="D6" i="62"/>
  <c r="D6" i="66"/>
  <c r="D7" i="81"/>
  <c r="D6" i="86"/>
  <c r="D6" i="92"/>
  <c r="D9" i="93"/>
  <c r="D10" i="93"/>
  <c r="D4" i="97"/>
  <c r="D6" i="101"/>
  <c r="D5" i="9"/>
  <c r="D4" i="6"/>
  <c r="D5" i="92"/>
  <c r="F5" i="92"/>
  <c r="F5" i="27" l="1"/>
  <c r="F6" i="27"/>
  <c r="F7" i="27"/>
  <c r="F8" i="27"/>
  <c r="F9" i="27"/>
  <c r="F10" i="27"/>
  <c r="F11" i="27"/>
  <c r="F12" i="27"/>
  <c r="F13" i="27"/>
  <c r="F14" i="27"/>
  <c r="F15" i="27"/>
  <c r="D10" i="23" l="1"/>
  <c r="F10" i="23"/>
  <c r="D6" i="29"/>
  <c r="D5" i="29"/>
  <c r="D6" i="106"/>
  <c r="B5" i="4"/>
  <c r="C14" i="4"/>
  <c r="B15" i="4"/>
  <c r="C15" i="4"/>
  <c r="D7" i="19" l="1"/>
  <c r="F7" i="25"/>
  <c r="F8" i="25"/>
  <c r="F9" i="25"/>
  <c r="F10" i="25"/>
  <c r="F11" i="25"/>
  <c r="F12" i="25"/>
  <c r="F13" i="25"/>
  <c r="F5" i="25"/>
  <c r="F6" i="25"/>
  <c r="F14" i="25"/>
  <c r="F15" i="25"/>
  <c r="F16" i="25"/>
  <c r="F17" i="25"/>
  <c r="D5" i="53"/>
  <c r="F5" i="53"/>
  <c r="F6" i="53"/>
  <c r="F7" i="53"/>
  <c r="F8" i="53"/>
  <c r="F9" i="53"/>
  <c r="F10" i="53"/>
  <c r="F11" i="53"/>
  <c r="F12" i="53"/>
  <c r="F13" i="53"/>
  <c r="F14" i="53"/>
  <c r="F15" i="53"/>
  <c r="F16" i="53"/>
  <c r="F17" i="53"/>
  <c r="F18" i="53"/>
  <c r="D13" i="102"/>
  <c r="H8" i="4"/>
  <c r="D8" i="89" l="1"/>
  <c r="C8" i="89"/>
  <c r="C12" i="75"/>
  <c r="D12" i="75" s="1"/>
  <c r="D9" i="23"/>
  <c r="F9" i="23"/>
  <c r="D5" i="68"/>
  <c r="D8" i="93"/>
  <c r="F4" i="97"/>
  <c r="F5" i="97"/>
  <c r="F6" i="97"/>
  <c r="F7" i="97"/>
  <c r="F8" i="97"/>
  <c r="F9" i="97"/>
  <c r="F10" i="97"/>
  <c r="F11" i="97"/>
  <c r="F12" i="97"/>
  <c r="F13" i="97"/>
  <c r="F14" i="97"/>
  <c r="F15" i="97"/>
  <c r="F16" i="97"/>
  <c r="C12" i="4" l="1"/>
  <c r="C16" i="4" s="1"/>
  <c r="B12" i="4"/>
  <c r="B16" i="4" s="1"/>
  <c r="F6" i="4"/>
  <c r="J98" i="104" l="1"/>
  <c r="J90" i="104"/>
  <c r="J82" i="104"/>
  <c r="J74" i="104"/>
  <c r="J66" i="104"/>
  <c r="J58" i="104"/>
  <c r="J50" i="104"/>
  <c r="J42" i="104"/>
  <c r="J34" i="104"/>
  <c r="J26" i="104"/>
  <c r="J18" i="104"/>
  <c r="J10" i="104"/>
  <c r="J89" i="104"/>
  <c r="J73" i="104"/>
  <c r="J57" i="104"/>
  <c r="J33" i="104"/>
  <c r="J9" i="104"/>
  <c r="J96" i="104"/>
  <c r="J72" i="104"/>
  <c r="J56" i="104"/>
  <c r="J40" i="104"/>
  <c r="J24" i="104"/>
  <c r="J8" i="104"/>
  <c r="J103" i="104"/>
  <c r="J95" i="104"/>
  <c r="J87" i="104"/>
  <c r="J79" i="104"/>
  <c r="J71" i="104"/>
  <c r="J63" i="104"/>
  <c r="J55" i="104"/>
  <c r="J47" i="104"/>
  <c r="J39" i="104"/>
  <c r="J31" i="104"/>
  <c r="J23" i="104"/>
  <c r="J15" i="104"/>
  <c r="J7" i="104"/>
  <c r="J101" i="104"/>
  <c r="J85" i="104"/>
  <c r="J69" i="104"/>
  <c r="J53" i="104"/>
  <c r="J37" i="104"/>
  <c r="J21" i="104"/>
  <c r="J5" i="104"/>
  <c r="J100" i="104"/>
  <c r="J68" i="104"/>
  <c r="J52" i="104"/>
  <c r="J36" i="104"/>
  <c r="J20" i="104"/>
  <c r="J102" i="104"/>
  <c r="J94" i="104"/>
  <c r="J86" i="104"/>
  <c r="J78" i="104"/>
  <c r="J70" i="104"/>
  <c r="J62" i="104"/>
  <c r="J54" i="104"/>
  <c r="J46" i="104"/>
  <c r="J38" i="104"/>
  <c r="J30" i="104"/>
  <c r="J22" i="104"/>
  <c r="J14" i="104"/>
  <c r="J6" i="104"/>
  <c r="J93" i="104"/>
  <c r="J77" i="104"/>
  <c r="J61" i="104"/>
  <c r="J45" i="104"/>
  <c r="J29" i="104"/>
  <c r="J13" i="104"/>
  <c r="J92" i="104"/>
  <c r="J84" i="104"/>
  <c r="J76" i="104"/>
  <c r="J60" i="104"/>
  <c r="J44" i="104"/>
  <c r="J28" i="104"/>
  <c r="J12" i="104"/>
  <c r="J99" i="104"/>
  <c r="J91" i="104"/>
  <c r="J83" i="104"/>
  <c r="J75" i="104"/>
  <c r="J67" i="104"/>
  <c r="J59" i="104"/>
  <c r="J51" i="104"/>
  <c r="J43" i="104"/>
  <c r="J35" i="104"/>
  <c r="J27" i="104"/>
  <c r="J19" i="104"/>
  <c r="J11" i="104"/>
  <c r="J97" i="104"/>
  <c r="J81" i="104"/>
  <c r="J65" i="104"/>
  <c r="J49" i="104"/>
  <c r="J41" i="104"/>
  <c r="J25" i="104"/>
  <c r="J17" i="104"/>
  <c r="J88" i="104"/>
  <c r="J80" i="104"/>
  <c r="J64" i="104"/>
  <c r="J48" i="104"/>
  <c r="J32" i="104"/>
  <c r="J16" i="104"/>
  <c r="B29" i="4"/>
  <c r="AD97" i="104"/>
  <c r="AD89" i="104"/>
  <c r="AD81" i="104"/>
  <c r="AD73" i="104"/>
  <c r="AD65" i="104"/>
  <c r="AD57" i="104"/>
  <c r="AD49" i="104"/>
  <c r="AD41" i="104"/>
  <c r="AD33" i="104"/>
  <c r="AD25" i="104"/>
  <c r="AD17" i="104"/>
  <c r="AD9" i="104"/>
  <c r="B30" i="4"/>
  <c r="AD96" i="104"/>
  <c r="AD88" i="104"/>
  <c r="AD80" i="104"/>
  <c r="AD72" i="104"/>
  <c r="AD64" i="104"/>
  <c r="AD56" i="104"/>
  <c r="AD48" i="104"/>
  <c r="AD40" i="104"/>
  <c r="AD32" i="104"/>
  <c r="AD24" i="104"/>
  <c r="AD16" i="104"/>
  <c r="AD8" i="104"/>
  <c r="AD103" i="104"/>
  <c r="AD95" i="104"/>
  <c r="AD87" i="104"/>
  <c r="AD79" i="104"/>
  <c r="AD71" i="104"/>
  <c r="AD63" i="104"/>
  <c r="AD55" i="104"/>
  <c r="AD47" i="104"/>
  <c r="AD39" i="104"/>
  <c r="AD31" i="104"/>
  <c r="AD23" i="104"/>
  <c r="AD15" i="104"/>
  <c r="AD7" i="104"/>
  <c r="AD82" i="104"/>
  <c r="AD50" i="104"/>
  <c r="AD18" i="104"/>
  <c r="AD102" i="104"/>
  <c r="AD94" i="104"/>
  <c r="AD86" i="104"/>
  <c r="AD78" i="104"/>
  <c r="AD70" i="104"/>
  <c r="AD62" i="104"/>
  <c r="AD54" i="104"/>
  <c r="AD46" i="104"/>
  <c r="AD38" i="104"/>
  <c r="AD30" i="104"/>
  <c r="AD22" i="104"/>
  <c r="AD14" i="104"/>
  <c r="AD6" i="104"/>
  <c r="AD93" i="104"/>
  <c r="AD85" i="104"/>
  <c r="AD77" i="104"/>
  <c r="AD69" i="104"/>
  <c r="AD61" i="104"/>
  <c r="AD53" i="104"/>
  <c r="AD45" i="104"/>
  <c r="AD37" i="104"/>
  <c r="AD29" i="104"/>
  <c r="AD13" i="104"/>
  <c r="AD5" i="104"/>
  <c r="AD92" i="104"/>
  <c r="AD84" i="104"/>
  <c r="AD76" i="104"/>
  <c r="AD68" i="104"/>
  <c r="AD60" i="104"/>
  <c r="AD52" i="104"/>
  <c r="AD44" i="104"/>
  <c r="AD36" i="104"/>
  <c r="AD28" i="104"/>
  <c r="AD20" i="104"/>
  <c r="AD12" i="104"/>
  <c r="AD91" i="104"/>
  <c r="AD83" i="104"/>
  <c r="AD75" i="104"/>
  <c r="AD67" i="104"/>
  <c r="AD59" i="104"/>
  <c r="AD51" i="104"/>
  <c r="AD35" i="104"/>
  <c r="AD19" i="104"/>
  <c r="AD90" i="104"/>
  <c r="AD58" i="104"/>
  <c r="AD34" i="104"/>
  <c r="AD101" i="104"/>
  <c r="AD21" i="104"/>
  <c r="AD27" i="104"/>
  <c r="AD11" i="104"/>
  <c r="AD98" i="104"/>
  <c r="AD42" i="104"/>
  <c r="AD100" i="104"/>
  <c r="AD66" i="104"/>
  <c r="AD10" i="104"/>
  <c r="AD99" i="104"/>
  <c r="AD43" i="104"/>
  <c r="AD74" i="104"/>
  <c r="AD26" i="104"/>
  <c r="D8" i="30"/>
  <c r="D7" i="30"/>
  <c r="D6" i="36"/>
  <c r="F5" i="36"/>
  <c r="F6" i="36"/>
  <c r="F7" i="36"/>
  <c r="F8" i="36"/>
  <c r="F9" i="36"/>
  <c r="F10" i="36"/>
  <c r="F11" i="36"/>
  <c r="F12" i="36"/>
  <c r="F13" i="36"/>
  <c r="F14" i="36"/>
  <c r="F15" i="36"/>
  <c r="F16" i="36"/>
  <c r="F17" i="36"/>
  <c r="F18" i="36"/>
  <c r="F19" i="36"/>
  <c r="F20" i="36"/>
  <c r="F21" i="36"/>
  <c r="F22" i="36"/>
  <c r="F23" i="36"/>
  <c r="F24" i="36"/>
  <c r="F25" i="36"/>
  <c r="F26" i="36"/>
  <c r="F27" i="36"/>
  <c r="F28" i="36"/>
  <c r="D11" i="75"/>
  <c r="AD104" i="104" l="1"/>
  <c r="C68" i="5"/>
  <c r="F23" i="44" l="1"/>
  <c r="F22" i="44"/>
  <c r="F21" i="44"/>
  <c r="F20" i="44"/>
  <c r="F19" i="44"/>
  <c r="F18" i="44"/>
  <c r="F17" i="44"/>
  <c r="F16" i="44"/>
  <c r="F15" i="44"/>
  <c r="F14" i="44"/>
  <c r="F13" i="44"/>
  <c r="F12" i="44"/>
  <c r="F11" i="44"/>
  <c r="F10" i="44"/>
  <c r="F9" i="44"/>
  <c r="F8" i="44"/>
  <c r="F7" i="44"/>
  <c r="F6" i="44"/>
  <c r="F5" i="44"/>
  <c r="F4" i="44"/>
  <c r="F3" i="44"/>
  <c r="D3" i="44"/>
  <c r="D5" i="65"/>
  <c r="D4" i="90"/>
  <c r="D7" i="93"/>
  <c r="D6" i="93"/>
  <c r="C10" i="4"/>
  <c r="C21" i="4"/>
  <c r="B21" i="4" l="1"/>
  <c r="B20" i="4"/>
  <c r="D5" i="79"/>
  <c r="D4" i="34"/>
  <c r="D9" i="13"/>
  <c r="D8" i="13"/>
  <c r="D5" i="43"/>
  <c r="D7" i="70"/>
  <c r="D5" i="83"/>
  <c r="F13" i="102"/>
  <c r="F14" i="102"/>
  <c r="F15" i="102"/>
  <c r="F16" i="102"/>
  <c r="F17" i="102"/>
  <c r="F18" i="102"/>
  <c r="F19" i="102"/>
  <c r="D12" i="102"/>
  <c r="D6" i="19"/>
  <c r="D8" i="28"/>
  <c r="D3" i="105"/>
  <c r="F5" i="105"/>
  <c r="F6" i="105"/>
  <c r="F7" i="105"/>
  <c r="F8" i="105"/>
  <c r="F9" i="105"/>
  <c r="F10" i="105"/>
  <c r="F11" i="105"/>
  <c r="F12" i="105"/>
  <c r="F13" i="105"/>
  <c r="F14" i="105"/>
  <c r="F15" i="105"/>
  <c r="F16" i="105"/>
  <c r="F17" i="105"/>
  <c r="F18" i="105"/>
  <c r="F19" i="105"/>
  <c r="F20" i="105"/>
  <c r="F21" i="105"/>
  <c r="F22" i="105"/>
  <c r="F23" i="105"/>
  <c r="F24" i="105"/>
  <c r="F25" i="105"/>
  <c r="D5" i="60"/>
  <c r="D4" i="67"/>
  <c r="F4" i="67"/>
  <c r="F5" i="67"/>
  <c r="F6" i="67"/>
  <c r="F7" i="67"/>
  <c r="F8" i="67"/>
  <c r="F9" i="67"/>
  <c r="F10" i="67"/>
  <c r="F11" i="67"/>
  <c r="F12" i="67"/>
  <c r="F13" i="67"/>
  <c r="F14" i="67"/>
  <c r="F15" i="67"/>
  <c r="F16" i="67"/>
  <c r="F17" i="67"/>
  <c r="F18" i="67"/>
  <c r="F19" i="67"/>
  <c r="F20" i="67"/>
  <c r="F21" i="67"/>
  <c r="F22" i="67"/>
  <c r="F23" i="67"/>
  <c r="F24" i="67"/>
  <c r="C24" i="4" l="1"/>
  <c r="B24" i="4"/>
  <c r="E33" i="107"/>
  <c r="E34" i="107" s="1"/>
  <c r="C34" i="107"/>
  <c r="E22" i="107"/>
  <c r="E23" i="107" s="1"/>
  <c r="C23" i="107"/>
  <c r="E9" i="107"/>
  <c r="AE96" i="104" l="1"/>
  <c r="AE88" i="104"/>
  <c r="AE80" i="104"/>
  <c r="AE72" i="104"/>
  <c r="AE64" i="104"/>
  <c r="AE56" i="104"/>
  <c r="AE48" i="104"/>
  <c r="AE40" i="104"/>
  <c r="AE32" i="104"/>
  <c r="AE24" i="104"/>
  <c r="AE16" i="104"/>
  <c r="AE8" i="104"/>
  <c r="AE77" i="104"/>
  <c r="AE69" i="104"/>
  <c r="AE45" i="104"/>
  <c r="AE21" i="104"/>
  <c r="AE92" i="104"/>
  <c r="AE60" i="104"/>
  <c r="AE44" i="104"/>
  <c r="AE28" i="104"/>
  <c r="AE83" i="104"/>
  <c r="AE51" i="104"/>
  <c r="AE35" i="104"/>
  <c r="AE19" i="104"/>
  <c r="AE103" i="104"/>
  <c r="AE95" i="104"/>
  <c r="AE87" i="104"/>
  <c r="AE79" i="104"/>
  <c r="AE71" i="104"/>
  <c r="AE63" i="104"/>
  <c r="AE55" i="104"/>
  <c r="AE47" i="104"/>
  <c r="AE39" i="104"/>
  <c r="AE31" i="104"/>
  <c r="AE23" i="104"/>
  <c r="AE15" i="104"/>
  <c r="AE7" i="104"/>
  <c r="AE85" i="104"/>
  <c r="AE53" i="104"/>
  <c r="AE29" i="104"/>
  <c r="AE5" i="104"/>
  <c r="AE76" i="104"/>
  <c r="AE36" i="104"/>
  <c r="AE12" i="104"/>
  <c r="AE75" i="104"/>
  <c r="AE27" i="104"/>
  <c r="AE102" i="104"/>
  <c r="AE94" i="104"/>
  <c r="AE86" i="104"/>
  <c r="AE78" i="104"/>
  <c r="AE70" i="104"/>
  <c r="AE62" i="104"/>
  <c r="AE54" i="104"/>
  <c r="AE46" i="104"/>
  <c r="AE38" i="104"/>
  <c r="AE30" i="104"/>
  <c r="AE22" i="104"/>
  <c r="AE14" i="104"/>
  <c r="AE6" i="104"/>
  <c r="AE93" i="104"/>
  <c r="AE61" i="104"/>
  <c r="AE37" i="104"/>
  <c r="AE13" i="104"/>
  <c r="AE84" i="104"/>
  <c r="AE68" i="104"/>
  <c r="AE52" i="104"/>
  <c r="AE20" i="104"/>
  <c r="AE91" i="104"/>
  <c r="AE59" i="104"/>
  <c r="AE43" i="104"/>
  <c r="AE101" i="104"/>
  <c r="AE100" i="104"/>
  <c r="AE99" i="104"/>
  <c r="AE98" i="104"/>
  <c r="AE90" i="104"/>
  <c r="AE82" i="104"/>
  <c r="AE74" i="104"/>
  <c r="AE66" i="104"/>
  <c r="AE58" i="104"/>
  <c r="AE50" i="104"/>
  <c r="AE42" i="104"/>
  <c r="AE34" i="104"/>
  <c r="AE26" i="104"/>
  <c r="AE18" i="104"/>
  <c r="AE10" i="104"/>
  <c r="AE97" i="104"/>
  <c r="AE89" i="104"/>
  <c r="AE81" i="104"/>
  <c r="AE73" i="104"/>
  <c r="AE65" i="104"/>
  <c r="AE57" i="104"/>
  <c r="AE49" i="104"/>
  <c r="AE41" i="104"/>
  <c r="AE33" i="104"/>
  <c r="AE25" i="104"/>
  <c r="AE17" i="104"/>
  <c r="AE9" i="104"/>
  <c r="AE67" i="104"/>
  <c r="AE11" i="104"/>
  <c r="K101" i="104"/>
  <c r="K93" i="104"/>
  <c r="K85" i="104"/>
  <c r="K77" i="104"/>
  <c r="K69" i="104"/>
  <c r="K61" i="104"/>
  <c r="K53" i="104"/>
  <c r="K45" i="104"/>
  <c r="K37" i="104"/>
  <c r="K29" i="104"/>
  <c r="K21" i="104"/>
  <c r="K13" i="104"/>
  <c r="K5" i="104"/>
  <c r="K92" i="104"/>
  <c r="K84" i="104"/>
  <c r="K68" i="104"/>
  <c r="K52" i="104"/>
  <c r="K36" i="104"/>
  <c r="K20" i="104"/>
  <c r="K91" i="104"/>
  <c r="K75" i="104"/>
  <c r="K59" i="104"/>
  <c r="K51" i="104"/>
  <c r="K35" i="104"/>
  <c r="K19" i="104"/>
  <c r="K90" i="104"/>
  <c r="K74" i="104"/>
  <c r="K58" i="104"/>
  <c r="K42" i="104"/>
  <c r="K18" i="104"/>
  <c r="K100" i="104"/>
  <c r="K76" i="104"/>
  <c r="K60" i="104"/>
  <c r="K44" i="104"/>
  <c r="K28" i="104"/>
  <c r="K12" i="104"/>
  <c r="K99" i="104"/>
  <c r="K83" i="104"/>
  <c r="K67" i="104"/>
  <c r="K43" i="104"/>
  <c r="K27" i="104"/>
  <c r="K11" i="104"/>
  <c r="K98" i="104"/>
  <c r="K66" i="104"/>
  <c r="K50" i="104"/>
  <c r="K26" i="104"/>
  <c r="K82" i="104"/>
  <c r="K34" i="104"/>
  <c r="K10" i="104"/>
  <c r="K97" i="104"/>
  <c r="K89" i="104"/>
  <c r="K81" i="104"/>
  <c r="K73" i="104"/>
  <c r="K65" i="104"/>
  <c r="K57" i="104"/>
  <c r="K49" i="104"/>
  <c r="K41" i="104"/>
  <c r="K33" i="104"/>
  <c r="K25" i="104"/>
  <c r="K17" i="104"/>
  <c r="K9" i="104"/>
  <c r="K88" i="104"/>
  <c r="K80" i="104"/>
  <c r="K72" i="104"/>
  <c r="K56" i="104"/>
  <c r="K48" i="104"/>
  <c r="K40" i="104"/>
  <c r="K24" i="104"/>
  <c r="K16" i="104"/>
  <c r="K95" i="104"/>
  <c r="K79" i="104"/>
  <c r="K71" i="104"/>
  <c r="K55" i="104"/>
  <c r="K39" i="104"/>
  <c r="K23" i="104"/>
  <c r="K7" i="104"/>
  <c r="K94" i="104"/>
  <c r="K78" i="104"/>
  <c r="K62" i="104"/>
  <c r="K46" i="104"/>
  <c r="K30" i="104"/>
  <c r="K6" i="104"/>
  <c r="K96" i="104"/>
  <c r="K64" i="104"/>
  <c r="K32" i="104"/>
  <c r="K8" i="104"/>
  <c r="K103" i="104"/>
  <c r="K87" i="104"/>
  <c r="K63" i="104"/>
  <c r="K47" i="104"/>
  <c r="K31" i="104"/>
  <c r="K15" i="104"/>
  <c r="K102" i="104"/>
  <c r="K70" i="104"/>
  <c r="K54" i="104"/>
  <c r="K38" i="104"/>
  <c r="K14" i="104"/>
  <c r="K86" i="104"/>
  <c r="K22" i="104"/>
  <c r="C29" i="4"/>
  <c r="C30" i="4"/>
  <c r="C28" i="4"/>
  <c r="B28" i="4"/>
  <c r="E8" i="107"/>
  <c r="C9" i="107"/>
  <c r="AE104" i="104" l="1"/>
  <c r="K104" i="104"/>
  <c r="D28" i="4"/>
  <c r="D30" i="4"/>
  <c r="D29" i="4"/>
  <c r="L103" i="104"/>
  <c r="L95" i="104"/>
  <c r="L87" i="104"/>
  <c r="L79" i="104"/>
  <c r="L71" i="104"/>
  <c r="L63" i="104"/>
  <c r="L55" i="104"/>
  <c r="L47" i="104"/>
  <c r="L39" i="104"/>
  <c r="L31" i="104"/>
  <c r="L23" i="104"/>
  <c r="L15" i="104"/>
  <c r="L7" i="104"/>
  <c r="L22" i="104"/>
  <c r="L6" i="104"/>
  <c r="L37" i="104"/>
  <c r="L13" i="104"/>
  <c r="L27" i="104"/>
  <c r="L90" i="104"/>
  <c r="L58" i="104"/>
  <c r="L57" i="104"/>
  <c r="L17" i="104"/>
  <c r="L88" i="104"/>
  <c r="L56" i="104"/>
  <c r="L102" i="104"/>
  <c r="L94" i="104"/>
  <c r="L86" i="104"/>
  <c r="L78" i="104"/>
  <c r="L70" i="104"/>
  <c r="L62" i="104"/>
  <c r="L54" i="104"/>
  <c r="L46" i="104"/>
  <c r="L38" i="104"/>
  <c r="L30" i="104"/>
  <c r="L14" i="104"/>
  <c r="L21" i="104"/>
  <c r="L5" i="104"/>
  <c r="L19" i="104"/>
  <c r="L74" i="104"/>
  <c r="L34" i="104"/>
  <c r="L10" i="104"/>
  <c r="L89" i="104"/>
  <c r="L81" i="104"/>
  <c r="L33" i="104"/>
  <c r="L80" i="104"/>
  <c r="L40" i="104"/>
  <c r="L8" i="104"/>
  <c r="L101" i="104"/>
  <c r="L93" i="104"/>
  <c r="L85" i="104"/>
  <c r="L77" i="104"/>
  <c r="L69" i="104"/>
  <c r="L61" i="104"/>
  <c r="L53" i="104"/>
  <c r="L45" i="104"/>
  <c r="L29" i="104"/>
  <c r="L98" i="104"/>
  <c r="L18" i="104"/>
  <c r="L49" i="104"/>
  <c r="L9" i="104"/>
  <c r="L64" i="104"/>
  <c r="L32" i="104"/>
  <c r="L100" i="104"/>
  <c r="L92" i="104"/>
  <c r="L84" i="104"/>
  <c r="L76" i="104"/>
  <c r="L68" i="104"/>
  <c r="L60" i="104"/>
  <c r="L52" i="104"/>
  <c r="L44" i="104"/>
  <c r="L36" i="104"/>
  <c r="L28" i="104"/>
  <c r="L20" i="104"/>
  <c r="L12" i="104"/>
  <c r="L51" i="104"/>
  <c r="L35" i="104"/>
  <c r="L11" i="104"/>
  <c r="L66" i="104"/>
  <c r="L42" i="104"/>
  <c r="L26" i="104"/>
  <c r="L97" i="104"/>
  <c r="L73" i="104"/>
  <c r="L25" i="104"/>
  <c r="L72" i="104"/>
  <c r="L48" i="104"/>
  <c r="L16" i="104"/>
  <c r="L99" i="104"/>
  <c r="L91" i="104"/>
  <c r="L83" i="104"/>
  <c r="L75" i="104"/>
  <c r="L67" i="104"/>
  <c r="L59" i="104"/>
  <c r="L43" i="104"/>
  <c r="L82" i="104"/>
  <c r="L50" i="104"/>
  <c r="L65" i="104"/>
  <c r="L41" i="104"/>
  <c r="L96" i="104"/>
  <c r="L24" i="104"/>
  <c r="I104" i="104"/>
  <c r="D3" i="11"/>
  <c r="F4" i="11"/>
  <c r="F5" i="11"/>
  <c r="F6" i="11"/>
  <c r="F7" i="11"/>
  <c r="F8" i="11"/>
  <c r="F9" i="11"/>
  <c r="F10" i="11"/>
  <c r="F11" i="11"/>
  <c r="F12" i="11"/>
  <c r="F13" i="11"/>
  <c r="F14" i="11"/>
  <c r="F15" i="11"/>
  <c r="F16" i="11"/>
  <c r="F17" i="11"/>
  <c r="F18" i="11"/>
  <c r="F19" i="11"/>
  <c r="F20" i="11"/>
  <c r="F21" i="11"/>
  <c r="D3" i="33"/>
  <c r="F4" i="33"/>
  <c r="F5" i="33"/>
  <c r="F6" i="33"/>
  <c r="F7" i="33"/>
  <c r="F8" i="33"/>
  <c r="F9" i="33"/>
  <c r="F10" i="33"/>
  <c r="F11" i="33"/>
  <c r="F12" i="33"/>
  <c r="F13" i="33"/>
  <c r="F14" i="33"/>
  <c r="F15" i="33"/>
  <c r="F16" i="33"/>
  <c r="F17" i="33"/>
  <c r="F18" i="33"/>
  <c r="F19" i="33"/>
  <c r="F20" i="33"/>
  <c r="D5" i="35"/>
  <c r="D7" i="49"/>
  <c r="D10" i="75"/>
  <c r="D4" i="84"/>
  <c r="F4" i="84"/>
  <c r="F5" i="84"/>
  <c r="F6" i="84"/>
  <c r="F7" i="84"/>
  <c r="F8" i="84"/>
  <c r="F9" i="84"/>
  <c r="F10" i="84"/>
  <c r="F11" i="84"/>
  <c r="F12" i="84"/>
  <c r="F13" i="84"/>
  <c r="F14" i="84"/>
  <c r="F15" i="84"/>
  <c r="F16" i="84"/>
  <c r="F17" i="84"/>
  <c r="F18" i="84"/>
  <c r="F19" i="84"/>
  <c r="F5" i="86"/>
  <c r="F6" i="86"/>
  <c r="F7" i="86"/>
  <c r="F8" i="86"/>
  <c r="F9" i="86"/>
  <c r="F10" i="86"/>
  <c r="F11" i="86"/>
  <c r="F12" i="86"/>
  <c r="F13" i="86"/>
  <c r="F14" i="86"/>
  <c r="F15" i="86"/>
  <c r="F16" i="86"/>
  <c r="F17" i="86"/>
  <c r="F18" i="86"/>
  <c r="F19" i="86"/>
  <c r="D7" i="89"/>
  <c r="O73" i="104" l="1"/>
  <c r="O94" i="104"/>
  <c r="O83" i="104"/>
  <c r="O93" i="104"/>
  <c r="O65" i="104"/>
  <c r="O91" i="104"/>
  <c r="O26" i="104"/>
  <c r="O28" i="104"/>
  <c r="O92" i="104"/>
  <c r="O29" i="104"/>
  <c r="O101" i="104"/>
  <c r="O34" i="104"/>
  <c r="O46" i="104"/>
  <c r="O56" i="104"/>
  <c r="O37" i="104"/>
  <c r="O47" i="104"/>
  <c r="O76" i="104"/>
  <c r="O27" i="104"/>
  <c r="O20" i="104"/>
  <c r="O13" i="104"/>
  <c r="O50" i="104"/>
  <c r="O99" i="104"/>
  <c r="O42" i="104"/>
  <c r="O36" i="104"/>
  <c r="O100" i="104"/>
  <c r="O45" i="104"/>
  <c r="O8" i="104"/>
  <c r="O74" i="104"/>
  <c r="O54" i="104"/>
  <c r="O88" i="104"/>
  <c r="O6" i="104"/>
  <c r="O55" i="104"/>
  <c r="O12" i="104"/>
  <c r="O89" i="104"/>
  <c r="O95" i="104"/>
  <c r="O41" i="104"/>
  <c r="O38" i="104"/>
  <c r="O82" i="104"/>
  <c r="O16" i="104"/>
  <c r="O66" i="104"/>
  <c r="O44" i="104"/>
  <c r="O32" i="104"/>
  <c r="O53" i="104"/>
  <c r="O40" i="104"/>
  <c r="O19" i="104"/>
  <c r="O62" i="104"/>
  <c r="O17" i="104"/>
  <c r="O22" i="104"/>
  <c r="O63" i="104"/>
  <c r="O96" i="104"/>
  <c r="O85" i="104"/>
  <c r="O98" i="104"/>
  <c r="O39" i="104"/>
  <c r="O43" i="104"/>
  <c r="O48" i="104"/>
  <c r="O11" i="104"/>
  <c r="O52" i="104"/>
  <c r="O64" i="104"/>
  <c r="O61" i="104"/>
  <c r="O80" i="104"/>
  <c r="O5" i="104"/>
  <c r="O70" i="104"/>
  <c r="O57" i="104"/>
  <c r="O7" i="104"/>
  <c r="O71" i="104"/>
  <c r="O18" i="104"/>
  <c r="O31" i="104"/>
  <c r="O97" i="104"/>
  <c r="O10" i="104"/>
  <c r="O103" i="104"/>
  <c r="O59" i="104"/>
  <c r="O72" i="104"/>
  <c r="O35" i="104"/>
  <c r="O60" i="104"/>
  <c r="O9" i="104"/>
  <c r="O69" i="104"/>
  <c r="O33" i="104"/>
  <c r="O21" i="104"/>
  <c r="O78" i="104"/>
  <c r="O58" i="104"/>
  <c r="O15" i="104"/>
  <c r="O79" i="104"/>
  <c r="O75" i="104"/>
  <c r="O30" i="104"/>
  <c r="O84" i="104"/>
  <c r="O102" i="104"/>
  <c r="O24" i="104"/>
  <c r="O67" i="104"/>
  <c r="O25" i="104"/>
  <c r="O51" i="104"/>
  <c r="O68" i="104"/>
  <c r="O49" i="104"/>
  <c r="O77" i="104"/>
  <c r="O81" i="104"/>
  <c r="O14" i="104"/>
  <c r="O86" i="104"/>
  <c r="O90" i="104"/>
  <c r="O23" i="104"/>
  <c r="O87" i="104"/>
  <c r="J104" i="104"/>
  <c r="F6" i="14"/>
  <c r="D7" i="54"/>
  <c r="D6" i="59"/>
  <c r="D6" i="70"/>
  <c r="F25" i="81"/>
  <c r="F24" i="81"/>
  <c r="F23" i="81"/>
  <c r="F22" i="81"/>
  <c r="F21" i="81"/>
  <c r="F20" i="81"/>
  <c r="F19" i="81"/>
  <c r="F18" i="81"/>
  <c r="F17" i="81"/>
  <c r="F16" i="81"/>
  <c r="F15" i="81"/>
  <c r="F14" i="81"/>
  <c r="F13" i="81"/>
  <c r="F12" i="81"/>
  <c r="F11" i="81"/>
  <c r="F10" i="81"/>
  <c r="F9" i="81"/>
  <c r="F8" i="81"/>
  <c r="F7" i="81"/>
  <c r="F6" i="81"/>
  <c r="D6" i="81"/>
  <c r="F5" i="81"/>
  <c r="D5" i="81"/>
  <c r="F4" i="81"/>
  <c r="D4" i="81"/>
  <c r="F3" i="81"/>
  <c r="F21" i="94"/>
  <c r="F20" i="94"/>
  <c r="F19" i="94"/>
  <c r="F18" i="94"/>
  <c r="F17" i="94"/>
  <c r="F16" i="94"/>
  <c r="F15" i="94"/>
  <c r="F14" i="94"/>
  <c r="F13" i="94"/>
  <c r="F12" i="94"/>
  <c r="F11" i="94"/>
  <c r="F10" i="94"/>
  <c r="F9" i="94"/>
  <c r="F8" i="94"/>
  <c r="F7" i="94"/>
  <c r="F6" i="94"/>
  <c r="F5" i="94"/>
  <c r="F4" i="94"/>
  <c r="D4" i="94"/>
  <c r="F3" i="94"/>
  <c r="D3" i="94"/>
  <c r="F9" i="99"/>
  <c r="D9" i="99"/>
  <c r="F8" i="99"/>
  <c r="D8" i="99"/>
  <c r="F5" i="90"/>
  <c r="F6" i="90"/>
  <c r="F7" i="90"/>
  <c r="F8" i="90"/>
  <c r="F9" i="90"/>
  <c r="F10" i="90"/>
  <c r="F11" i="90"/>
  <c r="F12" i="90"/>
  <c r="F13" i="90"/>
  <c r="F14" i="90"/>
  <c r="F15" i="90"/>
  <c r="F16" i="90"/>
  <c r="F17" i="90"/>
  <c r="F18" i="90"/>
  <c r="F19" i="90"/>
  <c r="F20" i="90"/>
  <c r="M104" i="104" l="1"/>
  <c r="O104" i="104"/>
  <c r="F22" i="94"/>
  <c r="C17" i="5" s="1"/>
  <c r="F26" i="81"/>
  <c r="C30" i="5" s="1"/>
  <c r="E104" i="104"/>
  <c r="D6" i="12" l="1"/>
  <c r="D4" i="15"/>
  <c r="F4" i="15"/>
  <c r="F5" i="15"/>
  <c r="F6" i="15"/>
  <c r="F7" i="15"/>
  <c r="F8" i="15"/>
  <c r="F9" i="15"/>
  <c r="F10" i="15"/>
  <c r="F11" i="15"/>
  <c r="F12" i="15"/>
  <c r="F13" i="15"/>
  <c r="F14" i="15"/>
  <c r="F15" i="15"/>
  <c r="F16" i="15"/>
  <c r="F17" i="15"/>
  <c r="F18" i="15"/>
  <c r="F19" i="15"/>
  <c r="F20" i="15"/>
  <c r="F21" i="15"/>
  <c r="F22" i="15"/>
  <c r="D10" i="16"/>
  <c r="D6" i="17" l="1"/>
  <c r="F6" i="17"/>
  <c r="F7" i="17"/>
  <c r="F8" i="17"/>
  <c r="F9" i="17"/>
  <c r="F10" i="17"/>
  <c r="F11" i="17"/>
  <c r="F12" i="17"/>
  <c r="F13" i="17"/>
  <c r="F14" i="17"/>
  <c r="F15" i="17"/>
  <c r="F16" i="17"/>
  <c r="F17" i="17"/>
  <c r="F18" i="17"/>
  <c r="F19" i="17"/>
  <c r="F20" i="17"/>
  <c r="F21" i="17"/>
  <c r="F22" i="17"/>
  <c r="F23" i="17"/>
  <c r="F24" i="17"/>
  <c r="F25" i="17"/>
  <c r="D8" i="23"/>
  <c r="F8" i="23"/>
  <c r="D7" i="28"/>
  <c r="D3" i="39"/>
  <c r="D6" i="38"/>
  <c r="F4" i="50"/>
  <c r="F5" i="50"/>
  <c r="F6" i="50"/>
  <c r="F7" i="50"/>
  <c r="F8" i="50"/>
  <c r="F9" i="50"/>
  <c r="F10" i="50"/>
  <c r="F11" i="50"/>
  <c r="F12" i="50"/>
  <c r="F13" i="50"/>
  <c r="F14" i="50"/>
  <c r="F15" i="50"/>
  <c r="F16" i="50"/>
  <c r="F17" i="50"/>
  <c r="F18" i="50"/>
  <c r="D3" i="50"/>
  <c r="D5" i="66"/>
  <c r="F5" i="66"/>
  <c r="F6" i="66"/>
  <c r="F7" i="66"/>
  <c r="F8" i="66"/>
  <c r="F9" i="66"/>
  <c r="F10" i="66"/>
  <c r="F11" i="66"/>
  <c r="F12" i="66"/>
  <c r="F13" i="66"/>
  <c r="F14" i="66"/>
  <c r="F15" i="66"/>
  <c r="F16" i="66"/>
  <c r="F17" i="66"/>
  <c r="F18" i="66"/>
  <c r="F19" i="66"/>
  <c r="F20" i="66"/>
  <c r="F21" i="66"/>
  <c r="D3" i="90"/>
  <c r="D6" i="28" l="1"/>
  <c r="F6" i="28"/>
  <c r="F7" i="28"/>
  <c r="F8" i="28"/>
  <c r="F9" i="28"/>
  <c r="F10" i="28"/>
  <c r="F11" i="28"/>
  <c r="F12" i="28"/>
  <c r="F13" i="28"/>
  <c r="F14" i="28"/>
  <c r="F15" i="28"/>
  <c r="F16" i="28"/>
  <c r="F17" i="28"/>
  <c r="F18" i="28"/>
  <c r="F19" i="28"/>
  <c r="D5" i="40"/>
  <c r="D4" i="46"/>
  <c r="D4" i="65"/>
  <c r="D5" i="70"/>
  <c r="F6" i="58" l="1"/>
  <c r="F7" i="58"/>
  <c r="F8" i="58"/>
  <c r="F9" i="58"/>
  <c r="F10" i="58"/>
  <c r="F11" i="58"/>
  <c r="F12" i="58"/>
  <c r="F13" i="58"/>
  <c r="F14" i="58"/>
  <c r="F15" i="58"/>
  <c r="F16" i="58"/>
  <c r="F17" i="58"/>
  <c r="F18" i="58"/>
  <c r="F19" i="58"/>
  <c r="F20" i="58"/>
  <c r="F21" i="58"/>
  <c r="F4" i="83"/>
  <c r="F5" i="83"/>
  <c r="F6" i="83"/>
  <c r="F7" i="83"/>
  <c r="F8" i="83"/>
  <c r="F9" i="83"/>
  <c r="F10" i="83"/>
  <c r="F11" i="83"/>
  <c r="F12" i="83"/>
  <c r="F13" i="83"/>
  <c r="F14" i="83"/>
  <c r="F15" i="83"/>
  <c r="F16" i="83"/>
  <c r="F17" i="83"/>
  <c r="D11" i="102"/>
  <c r="D7" i="23" l="1"/>
  <c r="D5" i="30"/>
  <c r="D4" i="30"/>
  <c r="D5" i="38"/>
  <c r="D4" i="47"/>
  <c r="D6" i="49" l="1"/>
  <c r="D4" i="68"/>
  <c r="D3" i="68"/>
  <c r="F4" i="68"/>
  <c r="F5" i="68"/>
  <c r="F6" i="68"/>
  <c r="F7" i="68"/>
  <c r="F8" i="68"/>
  <c r="F9" i="68"/>
  <c r="F10" i="68"/>
  <c r="F11" i="68"/>
  <c r="F12" i="68"/>
  <c r="F13" i="68"/>
  <c r="F14" i="68"/>
  <c r="F15" i="68"/>
  <c r="F16" i="68"/>
  <c r="F17" i="68"/>
  <c r="F18" i="68"/>
  <c r="D4" i="85"/>
  <c r="F5" i="85"/>
  <c r="F6" i="85"/>
  <c r="F7" i="85"/>
  <c r="F8" i="85"/>
  <c r="F9" i="85"/>
  <c r="F10" i="85"/>
  <c r="F11" i="85"/>
  <c r="F12" i="85"/>
  <c r="F13" i="85"/>
  <c r="F14" i="85"/>
  <c r="F15" i="85"/>
  <c r="F16" i="85"/>
  <c r="F17" i="85"/>
  <c r="F18" i="85"/>
  <c r="F19" i="85"/>
  <c r="F20" i="85"/>
  <c r="F21" i="85"/>
  <c r="F9" i="75"/>
  <c r="C9" i="75"/>
  <c r="D9" i="75" s="1"/>
  <c r="D6" i="99"/>
  <c r="C6" i="99"/>
  <c r="D4" i="21" l="1"/>
  <c r="F5" i="21"/>
  <c r="F6" i="21"/>
  <c r="F7" i="21"/>
  <c r="F8" i="21"/>
  <c r="F9" i="21"/>
  <c r="F10" i="21"/>
  <c r="F11" i="21"/>
  <c r="F12" i="21"/>
  <c r="F13" i="21"/>
  <c r="F14" i="21"/>
  <c r="F15" i="21"/>
  <c r="F16" i="21"/>
  <c r="F17" i="21"/>
  <c r="F18" i="21"/>
  <c r="F19" i="21"/>
  <c r="F20" i="21"/>
  <c r="F21" i="21"/>
  <c r="F22" i="21"/>
  <c r="D6" i="23"/>
  <c r="D6" i="73"/>
  <c r="F9" i="96"/>
  <c r="F8" i="96"/>
  <c r="F7" i="96"/>
  <c r="F6" i="96"/>
  <c r="F5" i="96"/>
  <c r="F4" i="96"/>
  <c r="F11" i="96"/>
  <c r="F10" i="96"/>
  <c r="F13" i="96"/>
  <c r="F12" i="96"/>
  <c r="D3" i="96"/>
  <c r="F5" i="69" l="1"/>
  <c r="F6" i="69"/>
  <c r="F7" i="69"/>
  <c r="F8" i="69"/>
  <c r="F9" i="69"/>
  <c r="F10" i="69"/>
  <c r="F11" i="69"/>
  <c r="F12" i="69"/>
  <c r="F13" i="69"/>
  <c r="F14" i="69"/>
  <c r="F15" i="69"/>
  <c r="F16" i="69"/>
  <c r="F17" i="69"/>
  <c r="F18" i="69"/>
  <c r="D5" i="69"/>
  <c r="D3" i="85"/>
  <c r="D4" i="87"/>
  <c r="D6" i="8"/>
  <c r="D4" i="35" l="1"/>
  <c r="F4" i="35"/>
  <c r="F5" i="35"/>
  <c r="F6" i="35"/>
  <c r="F7" i="35"/>
  <c r="F8" i="35"/>
  <c r="F9" i="35"/>
  <c r="F10" i="35"/>
  <c r="F11" i="35"/>
  <c r="F12" i="35"/>
  <c r="F13" i="35"/>
  <c r="F14" i="35"/>
  <c r="F15" i="35"/>
  <c r="F16" i="35"/>
  <c r="F17" i="35"/>
  <c r="D4" i="38"/>
  <c r="F4" i="38"/>
  <c r="F5" i="38"/>
  <c r="F6" i="38"/>
  <c r="F7" i="38"/>
  <c r="F8" i="38"/>
  <c r="F9" i="38"/>
  <c r="F10" i="38"/>
  <c r="F11" i="38"/>
  <c r="F12" i="38"/>
  <c r="F13" i="38"/>
  <c r="F14" i="38"/>
  <c r="F15" i="38"/>
  <c r="F16" i="38"/>
  <c r="F17" i="38"/>
  <c r="F18" i="38"/>
  <c r="F19" i="38"/>
  <c r="F20" i="38"/>
  <c r="F5" i="48"/>
  <c r="F6" i="48"/>
  <c r="F7" i="48"/>
  <c r="F8" i="48"/>
  <c r="F9" i="48"/>
  <c r="F10" i="48"/>
  <c r="F11" i="48"/>
  <c r="F12" i="48"/>
  <c r="F13" i="48"/>
  <c r="F14" i="48"/>
  <c r="F15" i="48"/>
  <c r="F16" i="48"/>
  <c r="F17" i="48"/>
  <c r="F18" i="48"/>
  <c r="F19" i="48"/>
  <c r="F20" i="48"/>
  <c r="F21" i="48"/>
  <c r="F22" i="48"/>
  <c r="F5" i="63"/>
  <c r="F6" i="63"/>
  <c r="F7" i="63"/>
  <c r="F8" i="63"/>
  <c r="F9" i="63"/>
  <c r="F10" i="63"/>
  <c r="F11" i="63"/>
  <c r="F12" i="63"/>
  <c r="F13" i="63"/>
  <c r="F14" i="63"/>
  <c r="F15" i="63"/>
  <c r="F16" i="63"/>
  <c r="F17" i="63"/>
  <c r="F18" i="63"/>
  <c r="F19" i="63"/>
  <c r="F20" i="63"/>
  <c r="F21" i="63"/>
  <c r="F22" i="63"/>
  <c r="F23" i="63"/>
  <c r="F24" i="63"/>
  <c r="D5" i="93"/>
  <c r="F5" i="93"/>
  <c r="F6" i="93"/>
  <c r="F7" i="93"/>
  <c r="F8" i="93"/>
  <c r="F9" i="93"/>
  <c r="F10" i="93"/>
  <c r="F11" i="93"/>
  <c r="F12" i="93"/>
  <c r="F13" i="93"/>
  <c r="F14" i="93"/>
  <c r="F15" i="93"/>
  <c r="F16" i="93"/>
  <c r="F17" i="93"/>
  <c r="F18" i="93"/>
  <c r="F19" i="93"/>
  <c r="F20" i="93"/>
  <c r="F21" i="93"/>
  <c r="D4" i="100"/>
  <c r="F4" i="100"/>
  <c r="F5" i="100"/>
  <c r="F6" i="100"/>
  <c r="F7" i="100"/>
  <c r="F8" i="100"/>
  <c r="F9" i="100"/>
  <c r="F10" i="100"/>
  <c r="F11" i="100"/>
  <c r="F12" i="100"/>
  <c r="F13" i="100"/>
  <c r="F14" i="100"/>
  <c r="F15" i="100"/>
  <c r="F16" i="100"/>
  <c r="F17" i="100"/>
  <c r="F18" i="100"/>
  <c r="F19" i="100"/>
  <c r="F20" i="100"/>
  <c r="D4" i="9"/>
  <c r="F4" i="9"/>
  <c r="F5" i="9"/>
  <c r="F6" i="9"/>
  <c r="F7" i="9"/>
  <c r="F8" i="9"/>
  <c r="F9" i="9"/>
  <c r="F10" i="9"/>
  <c r="F11" i="9"/>
  <c r="F12" i="9"/>
  <c r="F13" i="9"/>
  <c r="F14" i="9"/>
  <c r="F15" i="9"/>
  <c r="F16" i="9"/>
  <c r="D3" i="6"/>
  <c r="D4" i="12" l="1"/>
  <c r="F4" i="12"/>
  <c r="F5" i="12"/>
  <c r="F6" i="12"/>
  <c r="F7" i="12"/>
  <c r="F8" i="12"/>
  <c r="F9" i="12"/>
  <c r="F10" i="12"/>
  <c r="F11" i="12"/>
  <c r="F12" i="12"/>
  <c r="F13" i="12"/>
  <c r="F14" i="12"/>
  <c r="F15" i="12"/>
  <c r="F16" i="12"/>
  <c r="F17" i="12"/>
  <c r="F18" i="12"/>
  <c r="D5" i="14"/>
  <c r="F5" i="14"/>
  <c r="F7" i="14"/>
  <c r="F8" i="14"/>
  <c r="F9" i="14"/>
  <c r="F10" i="14"/>
  <c r="F11" i="14"/>
  <c r="F12" i="14"/>
  <c r="F13" i="14"/>
  <c r="F14" i="14"/>
  <c r="F15" i="14"/>
  <c r="F16" i="14"/>
  <c r="F17" i="14"/>
  <c r="F18" i="14"/>
  <c r="F5" i="40"/>
  <c r="F6" i="40"/>
  <c r="F7" i="40"/>
  <c r="F8" i="40"/>
  <c r="F9" i="40"/>
  <c r="F10" i="40"/>
  <c r="F11" i="40"/>
  <c r="F12" i="40"/>
  <c r="F13" i="40"/>
  <c r="F14" i="40"/>
  <c r="F15" i="40"/>
  <c r="F16" i="40"/>
  <c r="F17" i="40"/>
  <c r="D8" i="75"/>
  <c r="D6" i="95"/>
  <c r="G104" i="104" l="1"/>
  <c r="F5" i="32"/>
  <c r="F6" i="32"/>
  <c r="F7" i="32"/>
  <c r="F8" i="32"/>
  <c r="F9" i="32"/>
  <c r="F10" i="32"/>
  <c r="F11" i="32"/>
  <c r="F12" i="32"/>
  <c r="F13" i="32"/>
  <c r="F14" i="32"/>
  <c r="F15" i="32"/>
  <c r="F16" i="32"/>
  <c r="F17" i="32"/>
  <c r="F18" i="32"/>
  <c r="F19" i="32"/>
  <c r="F20" i="32"/>
  <c r="D4" i="32"/>
  <c r="F11" i="37"/>
  <c r="F10" i="37"/>
  <c r="F9" i="37"/>
  <c r="F8" i="37"/>
  <c r="F7" i="37"/>
  <c r="F6" i="37"/>
  <c r="F5" i="37"/>
  <c r="F4" i="37"/>
  <c r="F15" i="37"/>
  <c r="F14" i="37"/>
  <c r="F13" i="37"/>
  <c r="F12" i="37"/>
  <c r="F17" i="37"/>
  <c r="F16" i="37"/>
  <c r="F5" i="54"/>
  <c r="F6" i="54"/>
  <c r="F7" i="54"/>
  <c r="F8" i="54"/>
  <c r="F9" i="54"/>
  <c r="F10" i="54"/>
  <c r="F11" i="54"/>
  <c r="F12" i="54"/>
  <c r="F13" i="54"/>
  <c r="F14" i="54"/>
  <c r="F15" i="54"/>
  <c r="F16" i="54"/>
  <c r="F17" i="54"/>
  <c r="F18" i="54"/>
  <c r="F19" i="54"/>
  <c r="D4" i="60"/>
  <c r="F5" i="60"/>
  <c r="F6" i="60"/>
  <c r="F7" i="60"/>
  <c r="F8" i="60"/>
  <c r="F9" i="60"/>
  <c r="F10" i="60"/>
  <c r="F11" i="60"/>
  <c r="F12" i="60"/>
  <c r="F13" i="60"/>
  <c r="F14" i="60"/>
  <c r="F15" i="60"/>
  <c r="F16" i="60"/>
  <c r="F17" i="60"/>
  <c r="F18" i="60"/>
  <c r="F19" i="60"/>
  <c r="F20" i="60"/>
  <c r="D7" i="75"/>
  <c r="D6" i="75"/>
  <c r="F5" i="75"/>
  <c r="F6" i="75"/>
  <c r="F7" i="75"/>
  <c r="F8" i="75"/>
  <c r="F10" i="75"/>
  <c r="F11" i="75"/>
  <c r="F12" i="75"/>
  <c r="F13" i="75"/>
  <c r="F14" i="75"/>
  <c r="F15" i="75"/>
  <c r="F16" i="75"/>
  <c r="F5" i="78"/>
  <c r="F6" i="78"/>
  <c r="F7" i="78"/>
  <c r="F8" i="78"/>
  <c r="F9" i="78"/>
  <c r="F10" i="78"/>
  <c r="F11" i="78"/>
  <c r="F12" i="78"/>
  <c r="F13" i="78"/>
  <c r="F14" i="78"/>
  <c r="F15" i="78"/>
  <c r="F16" i="78"/>
  <c r="F17" i="78"/>
  <c r="D8" i="88"/>
  <c r="F4" i="92"/>
  <c r="F6" i="92"/>
  <c r="F7" i="92"/>
  <c r="F8" i="92"/>
  <c r="F9" i="92"/>
  <c r="F10" i="92"/>
  <c r="F11" i="92"/>
  <c r="F12" i="92"/>
  <c r="F13" i="92"/>
  <c r="F14" i="92"/>
  <c r="F15" i="92"/>
  <c r="F16" i="92"/>
  <c r="F17" i="92"/>
  <c r="F18" i="92"/>
  <c r="F19" i="92"/>
  <c r="D5" i="101"/>
  <c r="D4" i="101"/>
  <c r="F5" i="101"/>
  <c r="F6" i="101"/>
  <c r="F7" i="101"/>
  <c r="F8" i="101"/>
  <c r="F9" i="101"/>
  <c r="F10" i="101"/>
  <c r="F11" i="101"/>
  <c r="F12" i="101"/>
  <c r="F13" i="101"/>
  <c r="F14" i="101"/>
  <c r="F15" i="101"/>
  <c r="F16" i="101"/>
  <c r="F17" i="101"/>
  <c r="F18" i="101"/>
  <c r="F5" i="13" l="1"/>
  <c r="F6" i="13"/>
  <c r="F7" i="13"/>
  <c r="F8" i="13"/>
  <c r="F9" i="13"/>
  <c r="F10" i="13"/>
  <c r="F11" i="13"/>
  <c r="F12" i="13"/>
  <c r="F13" i="13"/>
  <c r="F14" i="13"/>
  <c r="F15" i="13"/>
  <c r="F16" i="13"/>
  <c r="F17" i="13"/>
  <c r="F18" i="13"/>
  <c r="F19" i="13"/>
  <c r="F20" i="13"/>
  <c r="D5" i="19"/>
  <c r="D4" i="41"/>
  <c r="F5" i="45"/>
  <c r="F6" i="45"/>
  <c r="F7" i="45"/>
  <c r="F8" i="45"/>
  <c r="F9" i="45"/>
  <c r="F10" i="45"/>
  <c r="F11" i="45"/>
  <c r="F12" i="45"/>
  <c r="F13" i="45"/>
  <c r="F14" i="45"/>
  <c r="F15" i="45"/>
  <c r="F16" i="45"/>
  <c r="F17" i="45"/>
  <c r="F18" i="45"/>
  <c r="F19" i="45"/>
  <c r="F20" i="45"/>
  <c r="F21" i="45"/>
  <c r="F22" i="45"/>
  <c r="F23" i="45"/>
  <c r="F5" i="49"/>
  <c r="F6" i="49"/>
  <c r="F7" i="49"/>
  <c r="F8" i="49"/>
  <c r="F9" i="49"/>
  <c r="F10" i="49"/>
  <c r="F11" i="49"/>
  <c r="F12" i="49"/>
  <c r="F13" i="49"/>
  <c r="F14" i="49"/>
  <c r="F15" i="49"/>
  <c r="F16" i="49"/>
  <c r="F17" i="49"/>
  <c r="F18" i="49"/>
  <c r="F19" i="49"/>
  <c r="F20" i="49"/>
  <c r="D5" i="59"/>
  <c r="F5" i="59"/>
  <c r="F6" i="59"/>
  <c r="F8" i="59"/>
  <c r="F9" i="59"/>
  <c r="F10" i="59"/>
  <c r="F11" i="59"/>
  <c r="F12" i="59"/>
  <c r="F13" i="59"/>
  <c r="F14" i="59"/>
  <c r="F15" i="59"/>
  <c r="F16" i="59"/>
  <c r="F17" i="59"/>
  <c r="F18" i="59"/>
  <c r="F19" i="59"/>
  <c r="F20" i="59"/>
  <c r="F21" i="59"/>
  <c r="D4" i="62"/>
  <c r="F11" i="62"/>
  <c r="F10" i="62"/>
  <c r="F9" i="62"/>
  <c r="F8" i="62"/>
  <c r="F7" i="62"/>
  <c r="F6" i="62"/>
  <c r="F5" i="62"/>
  <c r="F4" i="62"/>
  <c r="F15" i="62"/>
  <c r="F14" i="62"/>
  <c r="F13" i="62"/>
  <c r="F12" i="62"/>
  <c r="F17" i="62"/>
  <c r="F16" i="62"/>
  <c r="F18" i="62"/>
  <c r="D3" i="65"/>
  <c r="F7" i="65"/>
  <c r="F6" i="65"/>
  <c r="F5" i="65"/>
  <c r="F4" i="65"/>
  <c r="F11" i="65"/>
  <c r="F10" i="65"/>
  <c r="F9" i="65"/>
  <c r="F8" i="65"/>
  <c r="F12" i="65"/>
  <c r="F13" i="65"/>
  <c r="F4" i="70"/>
  <c r="F5" i="70"/>
  <c r="F6" i="70"/>
  <c r="F7" i="70"/>
  <c r="F8" i="70"/>
  <c r="F9" i="70"/>
  <c r="F10" i="70"/>
  <c r="F11" i="70"/>
  <c r="F12" i="70"/>
  <c r="F13" i="70"/>
  <c r="F5" i="74"/>
  <c r="F6" i="74"/>
  <c r="F7" i="74"/>
  <c r="F8" i="74"/>
  <c r="F9" i="74"/>
  <c r="F10" i="74"/>
  <c r="F11" i="74"/>
  <c r="F12" i="74"/>
  <c r="F13" i="74"/>
  <c r="F14" i="74"/>
  <c r="F15" i="74"/>
  <c r="F16" i="74"/>
  <c r="F17" i="74"/>
  <c r="F18" i="74"/>
  <c r="F19" i="74"/>
  <c r="F20" i="74"/>
  <c r="F21" i="74"/>
  <c r="F22" i="74"/>
  <c r="D4" i="74"/>
  <c r="D7" i="88"/>
  <c r="F7" i="88"/>
  <c r="F8" i="88"/>
  <c r="F9" i="88"/>
  <c r="F10" i="88"/>
  <c r="F11" i="88"/>
  <c r="F12" i="88"/>
  <c r="F13" i="88"/>
  <c r="F14" i="88"/>
  <c r="F15" i="88"/>
  <c r="F16" i="88"/>
  <c r="F17" i="88"/>
  <c r="F18" i="88"/>
  <c r="F19" i="88"/>
  <c r="F20" i="88"/>
  <c r="F21" i="88"/>
  <c r="F22" i="88"/>
  <c r="D4" i="8"/>
  <c r="F5" i="89"/>
  <c r="F6" i="89"/>
  <c r="F7" i="89"/>
  <c r="F8" i="89"/>
  <c r="F9" i="89"/>
  <c r="F10" i="89"/>
  <c r="F11" i="89"/>
  <c r="F12" i="89"/>
  <c r="F13" i="89"/>
  <c r="F14" i="89"/>
  <c r="F15" i="89"/>
  <c r="F16" i="89"/>
  <c r="F17" i="89"/>
  <c r="F18" i="89"/>
  <c r="F4" i="99" l="1"/>
  <c r="F5" i="99"/>
  <c r="F6" i="99"/>
  <c r="F7" i="99"/>
  <c r="F10" i="99"/>
  <c r="F11" i="99"/>
  <c r="F12" i="99"/>
  <c r="F13" i="99"/>
  <c r="F14" i="99"/>
  <c r="F15" i="99"/>
  <c r="F16" i="99"/>
  <c r="F17" i="99"/>
  <c r="F18" i="99"/>
  <c r="F19" i="99"/>
  <c r="P5" i="104"/>
  <c r="Q5" i="104"/>
  <c r="D104" i="104"/>
  <c r="BE104" i="104"/>
  <c r="F5" i="6" l="1"/>
  <c r="F6" i="6"/>
  <c r="F7" i="6"/>
  <c r="F8" i="6"/>
  <c r="F9" i="6"/>
  <c r="F10" i="6"/>
  <c r="F11" i="6"/>
  <c r="F12" i="6"/>
  <c r="F13" i="6"/>
  <c r="F14" i="6"/>
  <c r="F15" i="6"/>
  <c r="F16" i="6"/>
  <c r="F17" i="6"/>
  <c r="F18" i="6"/>
  <c r="F19" i="6"/>
  <c r="F20" i="6"/>
  <c r="F4" i="6"/>
  <c r="D3" i="30" l="1"/>
  <c r="F11" i="30"/>
  <c r="F10" i="30"/>
  <c r="F9" i="30"/>
  <c r="F8" i="30"/>
  <c r="F7" i="30"/>
  <c r="F6" i="30"/>
  <c r="F5" i="30"/>
  <c r="F4" i="30"/>
  <c r="F15" i="30"/>
  <c r="F14" i="30"/>
  <c r="F13" i="30"/>
  <c r="F12" i="30"/>
  <c r="F17" i="30"/>
  <c r="F16" i="30"/>
  <c r="D4" i="31"/>
  <c r="F5" i="31"/>
  <c r="F6" i="31"/>
  <c r="F7" i="31"/>
  <c r="F8" i="31"/>
  <c r="F9" i="31"/>
  <c r="F10" i="31"/>
  <c r="F11" i="31"/>
  <c r="F12" i="31"/>
  <c r="F13" i="31"/>
  <c r="F14" i="31"/>
  <c r="F15" i="31"/>
  <c r="F16" i="31"/>
  <c r="F17" i="31"/>
  <c r="F18" i="31"/>
  <c r="F19" i="31"/>
  <c r="F4" i="31"/>
  <c r="F20" i="31"/>
  <c r="D3" i="43"/>
  <c r="F10" i="43"/>
  <c r="F9" i="43"/>
  <c r="F8" i="43"/>
  <c r="F7" i="43"/>
  <c r="F6" i="43"/>
  <c r="F5" i="43"/>
  <c r="F11" i="43"/>
  <c r="F12" i="43"/>
  <c r="F13" i="43"/>
  <c r="F14" i="43"/>
  <c r="F15" i="43"/>
  <c r="F16" i="43"/>
  <c r="F4" i="43"/>
  <c r="D3" i="77"/>
  <c r="F10" i="77"/>
  <c r="F9" i="77"/>
  <c r="F8" i="77"/>
  <c r="F7" i="77"/>
  <c r="F6" i="77"/>
  <c r="F5" i="77"/>
  <c r="F4" i="77"/>
  <c r="F14" i="77"/>
  <c r="F13" i="77"/>
  <c r="F12" i="77"/>
  <c r="F11" i="77"/>
  <c r="F16" i="77"/>
  <c r="F15" i="77"/>
  <c r="D4" i="80"/>
  <c r="D3" i="80"/>
  <c r="F7" i="80"/>
  <c r="F6" i="80"/>
  <c r="F5" i="80"/>
  <c r="F4" i="80"/>
  <c r="F11" i="80"/>
  <c r="F10" i="80"/>
  <c r="F9" i="80"/>
  <c r="F8" i="80"/>
  <c r="F13" i="80"/>
  <c r="F12" i="80"/>
  <c r="D4" i="95"/>
  <c r="F4" i="95"/>
  <c r="F5" i="95"/>
  <c r="F6" i="95"/>
  <c r="F7" i="95"/>
  <c r="F8" i="95"/>
  <c r="F9" i="95"/>
  <c r="F10" i="95"/>
  <c r="F11" i="95"/>
  <c r="F12" i="95"/>
  <c r="F13" i="95"/>
  <c r="F14" i="95"/>
  <c r="F10" i="102"/>
  <c r="F11" i="102"/>
  <c r="F12" i="102"/>
  <c r="F20" i="102"/>
  <c r="D10" i="102"/>
  <c r="D3" i="8"/>
  <c r="F4" i="8"/>
  <c r="F5" i="8"/>
  <c r="F6" i="8"/>
  <c r="F7" i="8"/>
  <c r="F8" i="8"/>
  <c r="F9" i="8"/>
  <c r="F10" i="8"/>
  <c r="F11" i="8"/>
  <c r="F12" i="8"/>
  <c r="F13" i="8"/>
  <c r="F14" i="8"/>
  <c r="D3" i="7"/>
  <c r="D34" i="107" l="1"/>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T104" i="104" l="1"/>
  <c r="U104" i="104"/>
  <c r="R104" i="104" l="1"/>
  <c r="D7" i="16"/>
  <c r="D6" i="16"/>
  <c r="F5" i="16"/>
  <c r="F6" i="16"/>
  <c r="F7" i="16"/>
  <c r="F8" i="16"/>
  <c r="F9" i="16"/>
  <c r="F10" i="16"/>
  <c r="F11" i="16"/>
  <c r="F12" i="16"/>
  <c r="F13" i="16"/>
  <c r="F14" i="16"/>
  <c r="F15" i="16"/>
  <c r="F16" i="16"/>
  <c r="F17" i="16"/>
  <c r="F4" i="18"/>
  <c r="F5" i="18"/>
  <c r="F6" i="18"/>
  <c r="F7" i="18"/>
  <c r="F8" i="18"/>
  <c r="F9" i="18"/>
  <c r="F10" i="18"/>
  <c r="F11" i="18"/>
  <c r="F12" i="18"/>
  <c r="F13" i="18"/>
  <c r="F14" i="18"/>
  <c r="F15" i="18"/>
  <c r="F5" i="19"/>
  <c r="F6" i="19"/>
  <c r="F7" i="19"/>
  <c r="F8" i="19"/>
  <c r="F9" i="19"/>
  <c r="F10" i="19"/>
  <c r="F11" i="19"/>
  <c r="F12" i="19"/>
  <c r="F13" i="19"/>
  <c r="F14" i="19"/>
  <c r="F15" i="19"/>
  <c r="F16" i="19"/>
  <c r="F4" i="29"/>
  <c r="F5" i="29"/>
  <c r="F6" i="29"/>
  <c r="F7" i="29"/>
  <c r="F8" i="29"/>
  <c r="F9" i="29"/>
  <c r="F10" i="29"/>
  <c r="F11" i="29"/>
  <c r="F12" i="29"/>
  <c r="F13" i="29"/>
  <c r="F4" i="24"/>
  <c r="F5" i="24"/>
  <c r="F6" i="24"/>
  <c r="F7" i="24"/>
  <c r="F8" i="24"/>
  <c r="F9" i="24"/>
  <c r="F10" i="24"/>
  <c r="F11" i="24"/>
  <c r="F12" i="24"/>
  <c r="F13" i="24"/>
  <c r="F14" i="24"/>
  <c r="F15" i="24"/>
  <c r="F16" i="24"/>
  <c r="F17" i="24"/>
  <c r="D4" i="29"/>
  <c r="F5" i="41"/>
  <c r="F6" i="41"/>
  <c r="F7" i="41"/>
  <c r="F8" i="41"/>
  <c r="F9" i="41"/>
  <c r="F10" i="41"/>
  <c r="F11" i="41"/>
  <c r="F12" i="41"/>
  <c r="F13" i="41"/>
  <c r="D8" i="42"/>
  <c r="D7" i="42"/>
  <c r="F8" i="42"/>
  <c r="F9" i="42"/>
  <c r="F10" i="42"/>
  <c r="F11" i="42"/>
  <c r="F12" i="42"/>
  <c r="F13" i="42"/>
  <c r="F14" i="42"/>
  <c r="F15" i="42"/>
  <c r="F16" i="42"/>
  <c r="F17" i="42"/>
  <c r="D3" i="46"/>
  <c r="F5" i="46"/>
  <c r="F6" i="46"/>
  <c r="F7" i="46"/>
  <c r="F8" i="46"/>
  <c r="F9" i="46"/>
  <c r="F10" i="46"/>
  <c r="F11" i="46"/>
  <c r="F12" i="46"/>
  <c r="F5" i="57"/>
  <c r="F6" i="57"/>
  <c r="F7" i="57"/>
  <c r="F8" i="57"/>
  <c r="F9" i="57"/>
  <c r="F10" i="57"/>
  <c r="F11" i="57"/>
  <c r="F12" i="57"/>
  <c r="F5" i="106"/>
  <c r="F6" i="106"/>
  <c r="F7" i="106"/>
  <c r="F8" i="106"/>
  <c r="F9" i="106"/>
  <c r="F10" i="106"/>
  <c r="D4" i="66" l="1"/>
  <c r="F5" i="73"/>
  <c r="F6" i="73"/>
  <c r="F22" i="73"/>
  <c r="F23" i="73"/>
  <c r="D5" i="75"/>
  <c r="F5" i="102"/>
  <c r="F6" i="102"/>
  <c r="F7" i="102"/>
  <c r="F8" i="102"/>
  <c r="F9" i="102"/>
  <c r="D4" i="10"/>
  <c r="S104" i="104" l="1"/>
  <c r="D5" i="102"/>
  <c r="D5" i="23"/>
  <c r="F5" i="23"/>
  <c r="C5" i="23"/>
  <c r="F6" i="23"/>
  <c r="F7" i="23"/>
  <c r="F25" i="23"/>
  <c r="C5" i="102"/>
  <c r="D5" i="16"/>
  <c r="D3" i="66"/>
  <c r="D4" i="20" l="1"/>
  <c r="D5" i="28"/>
  <c r="F5" i="28"/>
  <c r="F20" i="28"/>
  <c r="F21" i="28"/>
  <c r="D3" i="47"/>
  <c r="D3" i="48"/>
  <c r="D5" i="82"/>
  <c r="D4" i="102"/>
  <c r="F5" i="17" l="1"/>
  <c r="F26" i="17"/>
  <c r="D3" i="21" l="1"/>
  <c r="D4" i="28"/>
  <c r="D3" i="93"/>
  <c r="D3" i="13" l="1"/>
  <c r="D3" i="58"/>
  <c r="D3" i="70"/>
  <c r="D4" i="73"/>
  <c r="D3" i="102"/>
  <c r="F11" i="106" l="1"/>
  <c r="F4" i="106"/>
  <c r="F3" i="106"/>
  <c r="C96" i="5"/>
  <c r="F26" i="105"/>
  <c r="F4" i="105"/>
  <c r="F3" i="105"/>
  <c r="F27" i="105" s="1"/>
  <c r="C13" i="5"/>
  <c r="F24" i="11"/>
  <c r="F23" i="11"/>
  <c r="F22" i="11"/>
  <c r="F3" i="11"/>
  <c r="F25" i="11" s="1"/>
  <c r="C102" i="5" s="1"/>
  <c r="F21" i="13"/>
  <c r="F4" i="13"/>
  <c r="F3" i="13"/>
  <c r="F17" i="19"/>
  <c r="F4" i="19"/>
  <c r="F3" i="19"/>
  <c r="F23" i="21"/>
  <c r="F4" i="21"/>
  <c r="F3" i="21"/>
  <c r="F6" i="22"/>
  <c r="F5" i="22"/>
  <c r="F4" i="22"/>
  <c r="F3" i="22"/>
  <c r="F19" i="25"/>
  <c r="F18" i="25"/>
  <c r="F4" i="25"/>
  <c r="F3" i="25"/>
  <c r="F20" i="30"/>
  <c r="F19" i="30"/>
  <c r="F18" i="30"/>
  <c r="F3" i="30"/>
  <c r="F23" i="33"/>
  <c r="F22" i="33"/>
  <c r="F21" i="33"/>
  <c r="F3" i="33"/>
  <c r="F20" i="37"/>
  <c r="F19" i="37"/>
  <c r="F18" i="37"/>
  <c r="F3" i="37"/>
  <c r="F6" i="39"/>
  <c r="F5" i="39"/>
  <c r="F4" i="39"/>
  <c r="F3" i="39"/>
  <c r="F19" i="40"/>
  <c r="F18" i="40"/>
  <c r="F4" i="40"/>
  <c r="F3" i="40"/>
  <c r="F15" i="41"/>
  <c r="F14" i="41"/>
  <c r="F4" i="41"/>
  <c r="F3" i="41"/>
  <c r="F18" i="43"/>
  <c r="F17" i="43"/>
  <c r="F3" i="43"/>
  <c r="F13" i="46"/>
  <c r="F4" i="46"/>
  <c r="F3" i="46"/>
  <c r="F23" i="47"/>
  <c r="F22" i="47"/>
  <c r="F4" i="47"/>
  <c r="F3" i="47"/>
  <c r="F23" i="48"/>
  <c r="F4" i="48"/>
  <c r="F3" i="48"/>
  <c r="F21" i="50"/>
  <c r="F20" i="50"/>
  <c r="F19" i="50"/>
  <c r="F3" i="50"/>
  <c r="F6" i="51"/>
  <c r="F5" i="51"/>
  <c r="F4" i="51"/>
  <c r="F3" i="51"/>
  <c r="F6" i="55"/>
  <c r="F5" i="55"/>
  <c r="F4" i="55"/>
  <c r="F3" i="55"/>
  <c r="F6" i="56"/>
  <c r="F5" i="56"/>
  <c r="F4" i="56"/>
  <c r="F3" i="56"/>
  <c r="F22" i="58"/>
  <c r="F5" i="58"/>
  <c r="F4" i="58"/>
  <c r="F3" i="58"/>
  <c r="F16" i="65"/>
  <c r="F15" i="65"/>
  <c r="F14" i="65"/>
  <c r="F3" i="65"/>
  <c r="F23" i="66"/>
  <c r="F22" i="66"/>
  <c r="F4" i="66"/>
  <c r="F3" i="66"/>
  <c r="F21" i="68"/>
  <c r="F20" i="68"/>
  <c r="F19" i="68"/>
  <c r="F3" i="68"/>
  <c r="F16" i="70"/>
  <c r="F15" i="70"/>
  <c r="F14" i="70"/>
  <c r="F3" i="70"/>
  <c r="F20" i="71"/>
  <c r="F19" i="71"/>
  <c r="F18" i="71"/>
  <c r="F3" i="71"/>
  <c r="F6" i="72"/>
  <c r="F5" i="72"/>
  <c r="F4" i="72"/>
  <c r="F3" i="72"/>
  <c r="F6" i="76"/>
  <c r="F5" i="76"/>
  <c r="F4" i="76"/>
  <c r="F3" i="76"/>
  <c r="F19" i="77"/>
  <c r="F18" i="77"/>
  <c r="F17" i="77"/>
  <c r="F3" i="77"/>
  <c r="F19" i="78"/>
  <c r="F18" i="78"/>
  <c r="F4" i="78"/>
  <c r="F3" i="78"/>
  <c r="F16" i="80"/>
  <c r="F15" i="80"/>
  <c r="F14" i="80"/>
  <c r="F3" i="80"/>
  <c r="F20" i="83"/>
  <c r="F19" i="83"/>
  <c r="F18" i="83"/>
  <c r="F3" i="83"/>
  <c r="F22" i="85"/>
  <c r="F4" i="85"/>
  <c r="F3" i="85"/>
  <c r="F6" i="87"/>
  <c r="F5" i="87"/>
  <c r="F4" i="87"/>
  <c r="F3" i="87"/>
  <c r="F21" i="90"/>
  <c r="F4" i="90"/>
  <c r="F3" i="90"/>
  <c r="F23" i="93"/>
  <c r="F22" i="93"/>
  <c r="F4" i="93"/>
  <c r="F3" i="93"/>
  <c r="F16" i="96"/>
  <c r="F15" i="96"/>
  <c r="F14" i="96"/>
  <c r="F3" i="96"/>
  <c r="F18" i="97"/>
  <c r="F17" i="97"/>
  <c r="F3" i="97"/>
  <c r="F4" i="102"/>
  <c r="F21" i="102"/>
  <c r="F3" i="102"/>
  <c r="Q39" i="104"/>
  <c r="D3" i="73"/>
  <c r="D3" i="67"/>
  <c r="D4" i="63"/>
  <c r="D3" i="63"/>
  <c r="D5" i="61"/>
  <c r="D4" i="61"/>
  <c r="F5" i="61"/>
  <c r="F6" i="61"/>
  <c r="F7" i="61"/>
  <c r="F4" i="61"/>
  <c r="P77" i="104"/>
  <c r="D4" i="36"/>
  <c r="D3" i="29"/>
  <c r="P99" i="104"/>
  <c r="D3" i="15"/>
  <c r="F24" i="15"/>
  <c r="F23" i="15"/>
  <c r="F3" i="15"/>
  <c r="F16" i="27"/>
  <c r="F4" i="27"/>
  <c r="F3" i="27"/>
  <c r="F15" i="29"/>
  <c r="F14" i="29"/>
  <c r="F3" i="29"/>
  <c r="F16" i="29" s="1"/>
  <c r="C83" i="5" s="1"/>
  <c r="F25" i="63"/>
  <c r="F4" i="63"/>
  <c r="F3" i="63"/>
  <c r="F26" i="67"/>
  <c r="F25" i="67"/>
  <c r="F3" i="67"/>
  <c r="F24" i="73"/>
  <c r="F4" i="73"/>
  <c r="F3" i="73"/>
  <c r="AP104" i="104"/>
  <c r="D4" i="23"/>
  <c r="P68" i="104"/>
  <c r="D4" i="45"/>
  <c r="D3" i="45"/>
  <c r="F4" i="45"/>
  <c r="F3" i="45"/>
  <c r="F24" i="45" s="1"/>
  <c r="C67" i="5" s="1"/>
  <c r="D3" i="49"/>
  <c r="F21" i="49"/>
  <c r="F22" i="49"/>
  <c r="F4" i="49"/>
  <c r="F3" i="49"/>
  <c r="F19" i="35"/>
  <c r="F18" i="35"/>
  <c r="F3" i="35"/>
  <c r="F20" i="35" s="1"/>
  <c r="C77" i="5" s="1"/>
  <c r="Q50" i="104"/>
  <c r="D3" i="62"/>
  <c r="F20" i="62"/>
  <c r="F19" i="62"/>
  <c r="F3" i="62"/>
  <c r="F21" i="62" s="1"/>
  <c r="C49" i="5" s="1"/>
  <c r="D4" i="86"/>
  <c r="Q20" i="104"/>
  <c r="P20" i="104"/>
  <c r="D3" i="92"/>
  <c r="F20" i="92"/>
  <c r="F3" i="92"/>
  <c r="F21" i="92" s="1"/>
  <c r="C19" i="5" s="1"/>
  <c r="D3" i="101"/>
  <c r="F19" i="101"/>
  <c r="F4" i="101"/>
  <c r="F3" i="101"/>
  <c r="D3" i="100"/>
  <c r="Q23" i="104"/>
  <c r="D3" i="89"/>
  <c r="P26" i="104"/>
  <c r="D3" i="86"/>
  <c r="D3" i="84"/>
  <c r="D4" i="82"/>
  <c r="D3" i="82"/>
  <c r="Q38" i="104"/>
  <c r="D3" i="74"/>
  <c r="P43" i="104"/>
  <c r="D3" i="69"/>
  <c r="Q52" i="104"/>
  <c r="D3" i="61"/>
  <c r="D3" i="60"/>
  <c r="Q53" i="104"/>
  <c r="D3" i="59"/>
  <c r="P59" i="104"/>
  <c r="D3" i="54"/>
  <c r="D3" i="52"/>
  <c r="F4" i="42"/>
  <c r="F5" i="42"/>
  <c r="F6" i="42"/>
  <c r="Q82" i="104"/>
  <c r="P82" i="104"/>
  <c r="D3" i="31"/>
  <c r="P100" i="104"/>
  <c r="D4" i="16"/>
  <c r="D3" i="16"/>
  <c r="D4" i="14"/>
  <c r="F18" i="16"/>
  <c r="F4" i="16"/>
  <c r="F3" i="16"/>
  <c r="F21" i="31"/>
  <c r="F3" i="31"/>
  <c r="F22" i="31" s="1"/>
  <c r="C81" i="5" s="1"/>
  <c r="F20" i="52"/>
  <c r="F4" i="52"/>
  <c r="F3" i="52"/>
  <c r="F20" i="54"/>
  <c r="F4" i="54"/>
  <c r="F3" i="54"/>
  <c r="F22" i="59"/>
  <c r="F4" i="59"/>
  <c r="F3" i="59"/>
  <c r="F21" i="60"/>
  <c r="F4" i="60"/>
  <c r="F3" i="60"/>
  <c r="F8" i="61"/>
  <c r="F3" i="61"/>
  <c r="F19" i="69"/>
  <c r="F4" i="69"/>
  <c r="F3" i="69"/>
  <c r="F23" i="74"/>
  <c r="F4" i="74"/>
  <c r="F3" i="74"/>
  <c r="F20" i="82"/>
  <c r="F4" i="82"/>
  <c r="F3" i="82"/>
  <c r="F21" i="84"/>
  <c r="F20" i="84"/>
  <c r="F3" i="84"/>
  <c r="F22" i="84" s="1"/>
  <c r="C27" i="5" s="1"/>
  <c r="F20" i="86"/>
  <c r="F4" i="86"/>
  <c r="F3" i="86"/>
  <c r="F4" i="89"/>
  <c r="F3" i="89"/>
  <c r="F19" i="89" s="1"/>
  <c r="C22" i="5" s="1"/>
  <c r="F22" i="100"/>
  <c r="F21" i="100"/>
  <c r="F3" i="100"/>
  <c r="F23" i="100" s="1"/>
  <c r="C11" i="5" s="1"/>
  <c r="Q9" i="104"/>
  <c r="P9" i="104"/>
  <c r="D3" i="10"/>
  <c r="F5" i="10"/>
  <c r="F4" i="10"/>
  <c r="F3" i="10"/>
  <c r="D3" i="99"/>
  <c r="Q17" i="104"/>
  <c r="P17" i="104"/>
  <c r="D3" i="95"/>
  <c r="D3" i="91"/>
  <c r="D4" i="79"/>
  <c r="D3" i="79"/>
  <c r="Q56" i="104"/>
  <c r="D3" i="57"/>
  <c r="Q85" i="104"/>
  <c r="D3" i="28"/>
  <c r="Q89" i="104"/>
  <c r="D3" i="24"/>
  <c r="Q93" i="104"/>
  <c r="P93" i="104"/>
  <c r="D3" i="20"/>
  <c r="D4" i="17"/>
  <c r="D3" i="12"/>
  <c r="F20" i="12"/>
  <c r="F19" i="12"/>
  <c r="F3" i="12"/>
  <c r="F27" i="17"/>
  <c r="F4" i="17"/>
  <c r="F3" i="17"/>
  <c r="F22" i="20"/>
  <c r="F4" i="20"/>
  <c r="F3" i="20"/>
  <c r="F23" i="20" s="1"/>
  <c r="C92" i="5" s="1"/>
  <c r="F19" i="24"/>
  <c r="F18" i="24"/>
  <c r="F3" i="24"/>
  <c r="F20" i="24" s="1"/>
  <c r="C88" i="5" s="1"/>
  <c r="F4" i="28"/>
  <c r="F3" i="28"/>
  <c r="F13" i="57"/>
  <c r="F4" i="57"/>
  <c r="F3" i="57"/>
  <c r="F14" i="57" s="1"/>
  <c r="C55" i="5" s="1"/>
  <c r="F20" i="79"/>
  <c r="F4" i="79"/>
  <c r="F3" i="79"/>
  <c r="F17" i="91"/>
  <c r="F16" i="91"/>
  <c r="F3" i="91"/>
  <c r="F16" i="95"/>
  <c r="F15" i="95"/>
  <c r="F3" i="95"/>
  <c r="F21" i="99"/>
  <c r="F20" i="99"/>
  <c r="F3" i="99"/>
  <c r="F22" i="99" s="1"/>
  <c r="C12" i="5" s="1"/>
  <c r="F4" i="7"/>
  <c r="Q24" i="104"/>
  <c r="D3" i="42"/>
  <c r="D3" i="38"/>
  <c r="Q81" i="104"/>
  <c r="D3" i="32"/>
  <c r="Q95" i="104"/>
  <c r="AG104" i="104"/>
  <c r="D3" i="18"/>
  <c r="F4" i="14"/>
  <c r="F3" i="14"/>
  <c r="F17" i="18"/>
  <c r="F16" i="18"/>
  <c r="F3" i="18"/>
  <c r="F21" i="32"/>
  <c r="F4" i="32"/>
  <c r="F3" i="32"/>
  <c r="F22" i="38"/>
  <c r="F21" i="38"/>
  <c r="F3" i="38"/>
  <c r="F23" i="38" s="1"/>
  <c r="C73" i="5" s="1"/>
  <c r="F18" i="42"/>
  <c r="F7" i="42"/>
  <c r="F3" i="42"/>
  <c r="F17" i="75"/>
  <c r="F4" i="75"/>
  <c r="F3" i="75"/>
  <c r="F5" i="88"/>
  <c r="F3" i="88"/>
  <c r="F5" i="98"/>
  <c r="F4" i="98"/>
  <c r="F3" i="98"/>
  <c r="F6" i="98" s="1"/>
  <c r="D3" i="9"/>
  <c r="F18" i="9"/>
  <c r="F17" i="9"/>
  <c r="F3" i="9"/>
  <c r="F19" i="9" s="1"/>
  <c r="C7" i="5" s="1"/>
  <c r="F29" i="36"/>
  <c r="F4" i="36"/>
  <c r="F3" i="36"/>
  <c r="D3" i="36"/>
  <c r="F15" i="8"/>
  <c r="P87" i="104"/>
  <c r="Q79" i="104"/>
  <c r="Q60" i="104"/>
  <c r="P60" i="104"/>
  <c r="C3" i="64"/>
  <c r="C3" i="53" s="1"/>
  <c r="B3" i="53"/>
  <c r="A3" i="53"/>
  <c r="F19" i="53"/>
  <c r="F4" i="53"/>
  <c r="F3" i="53"/>
  <c r="F13" i="64"/>
  <c r="F26" i="23"/>
  <c r="F4" i="23"/>
  <c r="F3" i="23"/>
  <c r="D3" i="23"/>
  <c r="F16" i="34"/>
  <c r="F5" i="26"/>
  <c r="F6" i="26"/>
  <c r="F4" i="26"/>
  <c r="F3" i="26"/>
  <c r="D3" i="34"/>
  <c r="F17" i="34"/>
  <c r="F3" i="34"/>
  <c r="F18" i="34" s="1"/>
  <c r="C78" i="5" s="1"/>
  <c r="F16" i="8"/>
  <c r="F3" i="8"/>
  <c r="F5" i="7"/>
  <c r="F3" i="7"/>
  <c r="F21" i="6"/>
  <c r="F3" i="6"/>
  <c r="F22" i="6" s="1"/>
  <c r="C4" i="5" s="1"/>
  <c r="V5" i="104" s="1"/>
  <c r="W5" i="104" s="1"/>
  <c r="Y5" i="104" s="1"/>
  <c r="P6" i="104"/>
  <c r="Q6" i="104"/>
  <c r="P7" i="104"/>
  <c r="Q7" i="104"/>
  <c r="P8" i="104"/>
  <c r="Q8" i="104"/>
  <c r="P10" i="104"/>
  <c r="Q10" i="104"/>
  <c r="P11" i="104"/>
  <c r="Q11" i="104"/>
  <c r="P12" i="104"/>
  <c r="Q12" i="104"/>
  <c r="P13" i="104"/>
  <c r="Q13" i="104"/>
  <c r="P14" i="104"/>
  <c r="Q14" i="104"/>
  <c r="P15" i="104"/>
  <c r="Q15" i="104"/>
  <c r="P16" i="104"/>
  <c r="Q16" i="104"/>
  <c r="P18" i="104"/>
  <c r="Q18" i="104"/>
  <c r="P19" i="104"/>
  <c r="Q19" i="104"/>
  <c r="Q21" i="104"/>
  <c r="P22" i="104"/>
  <c r="Q22" i="104"/>
  <c r="P23" i="104"/>
  <c r="P24" i="104"/>
  <c r="P25" i="104"/>
  <c r="Q25" i="104"/>
  <c r="Q26" i="104"/>
  <c r="P27" i="104"/>
  <c r="Q27" i="104"/>
  <c r="P28" i="104"/>
  <c r="Q28" i="104"/>
  <c r="P29" i="104"/>
  <c r="Q29" i="104"/>
  <c r="Q30" i="104"/>
  <c r="P30" i="104"/>
  <c r="P31" i="104"/>
  <c r="Q31" i="104"/>
  <c r="P32" i="104"/>
  <c r="Q32" i="104"/>
  <c r="P33" i="104"/>
  <c r="Q33" i="104"/>
  <c r="P34" i="104"/>
  <c r="Q34" i="104"/>
  <c r="P35" i="104"/>
  <c r="Q35" i="104"/>
  <c r="P36" i="104"/>
  <c r="Q36" i="104"/>
  <c r="P37" i="104"/>
  <c r="Q37" i="104"/>
  <c r="P38" i="104"/>
  <c r="P40" i="104"/>
  <c r="Q40" i="104"/>
  <c r="P41" i="104"/>
  <c r="Q41" i="104"/>
  <c r="P42" i="104"/>
  <c r="Q42" i="104"/>
  <c r="Q43" i="104"/>
  <c r="P44" i="104"/>
  <c r="Q44" i="104"/>
  <c r="P45" i="104"/>
  <c r="Q45" i="104"/>
  <c r="P46" i="104"/>
  <c r="Q46" i="104"/>
  <c r="P47" i="104"/>
  <c r="Q47" i="104"/>
  <c r="P49" i="104"/>
  <c r="Q49" i="104"/>
  <c r="P50" i="104"/>
  <c r="P51" i="104"/>
  <c r="P52" i="104"/>
  <c r="P53" i="104"/>
  <c r="P54" i="104"/>
  <c r="Q54" i="104"/>
  <c r="P55" i="104"/>
  <c r="Q55" i="104"/>
  <c r="P56" i="104"/>
  <c r="P57" i="104"/>
  <c r="Q57" i="104"/>
  <c r="P58" i="104"/>
  <c r="Q58" i="104"/>
  <c r="Q59" i="104"/>
  <c r="P61" i="104"/>
  <c r="Q61" i="104"/>
  <c r="P62" i="104"/>
  <c r="Q62" i="104"/>
  <c r="P63" i="104"/>
  <c r="Q63" i="104"/>
  <c r="P64" i="104"/>
  <c r="Q64" i="104"/>
  <c r="P65" i="104"/>
  <c r="Q65" i="104"/>
  <c r="P66" i="104"/>
  <c r="Q66" i="104"/>
  <c r="P67" i="104"/>
  <c r="Q67" i="104"/>
  <c r="Q68" i="104"/>
  <c r="P69" i="104"/>
  <c r="Q69" i="104"/>
  <c r="P70" i="104"/>
  <c r="Q70" i="104"/>
  <c r="P71" i="104"/>
  <c r="P72" i="104"/>
  <c r="Q72" i="104"/>
  <c r="P73" i="104"/>
  <c r="Q73" i="104"/>
  <c r="P74" i="104"/>
  <c r="Q74" i="104"/>
  <c r="P75" i="104"/>
  <c r="Q75" i="104"/>
  <c r="P76" i="104"/>
  <c r="Q76" i="104"/>
  <c r="P78" i="104"/>
  <c r="Q78" i="104"/>
  <c r="P79" i="104"/>
  <c r="P80" i="104"/>
  <c r="Q80" i="104"/>
  <c r="P81" i="104"/>
  <c r="P83" i="104"/>
  <c r="Q83" i="104"/>
  <c r="P84" i="104"/>
  <c r="Q84" i="104"/>
  <c r="P85" i="104"/>
  <c r="Q86" i="104"/>
  <c r="P86" i="104"/>
  <c r="Q87" i="104"/>
  <c r="P88" i="104"/>
  <c r="Q88" i="104"/>
  <c r="P89" i="104"/>
  <c r="P90" i="104"/>
  <c r="P91" i="104"/>
  <c r="Q91" i="104"/>
  <c r="P92" i="104"/>
  <c r="Q92" i="104"/>
  <c r="P94" i="104"/>
  <c r="Q94" i="104"/>
  <c r="P96" i="104"/>
  <c r="P97" i="104"/>
  <c r="Q97" i="104"/>
  <c r="P98" i="104"/>
  <c r="Q99" i="104"/>
  <c r="Q100" i="104"/>
  <c r="P101" i="104"/>
  <c r="Q101" i="104"/>
  <c r="P102" i="104"/>
  <c r="Q102" i="104"/>
  <c r="P103" i="104"/>
  <c r="Q103" i="104"/>
  <c r="C104" i="104"/>
  <c r="AU104" i="104"/>
  <c r="AV104" i="104"/>
  <c r="AW104" i="104"/>
  <c r="AX104" i="104"/>
  <c r="AY104" i="104"/>
  <c r="AZ104" i="104"/>
  <c r="BA104" i="104"/>
  <c r="BB104" i="104"/>
  <c r="BC104" i="104"/>
  <c r="BD104" i="104"/>
  <c r="F14" i="64"/>
  <c r="F3" i="64"/>
  <c r="F23" i="88" l="1"/>
  <c r="C23" i="5" s="1"/>
  <c r="F19" i="14"/>
  <c r="C99" i="5" s="1"/>
  <c r="F7" i="26"/>
  <c r="C86" i="5" s="1"/>
  <c r="F21" i="82"/>
  <c r="C29" i="5" s="1"/>
  <c r="Z5" i="104"/>
  <c r="X5" i="104"/>
  <c r="F23" i="59"/>
  <c r="C52" i="5" s="1"/>
  <c r="F25" i="73"/>
  <c r="C38" i="5" s="1"/>
  <c r="F14" i="46"/>
  <c r="C66" i="5" s="1"/>
  <c r="F24" i="47"/>
  <c r="C65" i="5" s="1"/>
  <c r="F19" i="97"/>
  <c r="C14" i="5" s="1"/>
  <c r="F17" i="96"/>
  <c r="C15" i="5" s="1"/>
  <c r="F22" i="90"/>
  <c r="C21" i="5" s="1"/>
  <c r="F7" i="87"/>
  <c r="C24" i="5" s="1"/>
  <c r="F23" i="85"/>
  <c r="C26" i="5" s="1"/>
  <c r="F21" i="83"/>
  <c r="C28" i="5" s="1"/>
  <c r="F20" i="77"/>
  <c r="C34" i="5" s="1"/>
  <c r="F7" i="76"/>
  <c r="C35" i="5" s="1"/>
  <c r="F7" i="72"/>
  <c r="C39" i="5" s="1"/>
  <c r="F21" i="71"/>
  <c r="C40" i="5" s="1"/>
  <c r="F17" i="70"/>
  <c r="C41" i="5" s="1"/>
  <c r="F22" i="68"/>
  <c r="C43" i="5" s="1"/>
  <c r="F17" i="65"/>
  <c r="C46" i="5" s="1"/>
  <c r="F23" i="58"/>
  <c r="C53" i="5" s="1"/>
  <c r="F7" i="56"/>
  <c r="C56" i="5" s="1"/>
  <c r="F7" i="55"/>
  <c r="C57" i="5" s="1"/>
  <c r="F7" i="51"/>
  <c r="C61" i="5" s="1"/>
  <c r="F22" i="50"/>
  <c r="C62" i="5" s="1"/>
  <c r="F20" i="53"/>
  <c r="C59" i="5" s="1"/>
  <c r="F18" i="75"/>
  <c r="C36" i="5" s="1"/>
  <c r="F18" i="18"/>
  <c r="C94" i="5" s="1"/>
  <c r="F18" i="91"/>
  <c r="C20" i="5" s="1"/>
  <c r="F21" i="12"/>
  <c r="C101" i="5" s="1"/>
  <c r="F24" i="74"/>
  <c r="C37" i="5" s="1"/>
  <c r="F26" i="63"/>
  <c r="C48" i="5" s="1"/>
  <c r="F20" i="40"/>
  <c r="C72" i="5" s="1"/>
  <c r="F7" i="39"/>
  <c r="C74" i="5" s="1"/>
  <c r="F21" i="37"/>
  <c r="C75" i="5" s="1"/>
  <c r="F24" i="33"/>
  <c r="C79" i="5" s="1"/>
  <c r="F21" i="30"/>
  <c r="C82" i="5" s="1"/>
  <c r="F20" i="25"/>
  <c r="C87" i="5" s="1"/>
  <c r="F7" i="22"/>
  <c r="C90" i="5" s="1"/>
  <c r="F24" i="21"/>
  <c r="C91" i="5" s="1"/>
  <c r="F18" i="19"/>
  <c r="C93" i="5" s="1"/>
  <c r="F17" i="95"/>
  <c r="C16" i="5" s="1"/>
  <c r="F22" i="28"/>
  <c r="C84" i="5" s="1"/>
  <c r="F21" i="52"/>
  <c r="C60" i="5" s="1"/>
  <c r="F27" i="67"/>
  <c r="C44" i="5" s="1"/>
  <c r="F25" i="15"/>
  <c r="C98" i="5" s="1"/>
  <c r="F19" i="43"/>
  <c r="C69" i="5" s="1"/>
  <c r="F24" i="48"/>
  <c r="C64" i="5" s="1"/>
  <c r="F20" i="78"/>
  <c r="C33" i="5" s="1"/>
  <c r="F22" i="32"/>
  <c r="C80" i="5" s="1"/>
  <c r="F22" i="60"/>
  <c r="C51" i="5" s="1"/>
  <c r="F20" i="101"/>
  <c r="C10" i="5" s="1"/>
  <c r="F16" i="41"/>
  <c r="C71" i="5" s="1"/>
  <c r="AI104" i="104"/>
  <c r="AQ104" i="104"/>
  <c r="P39" i="104"/>
  <c r="AN104" i="104"/>
  <c r="P95" i="104"/>
  <c r="AM104" i="104"/>
  <c r="Q90" i="104"/>
  <c r="P21" i="104"/>
  <c r="AR104" i="104"/>
  <c r="AO104" i="104"/>
  <c r="AP105" i="104" s="1"/>
  <c r="F17" i="80"/>
  <c r="C31" i="5" s="1"/>
  <c r="AK104" i="104"/>
  <c r="F19" i="42"/>
  <c r="C70" i="5" s="1"/>
  <c r="F12" i="106"/>
  <c r="C54" i="5" s="1"/>
  <c r="F24" i="66"/>
  <c r="C45" i="5" s="1"/>
  <c r="F6" i="10"/>
  <c r="C8" i="5" s="1"/>
  <c r="Q77" i="104"/>
  <c r="F20" i="69"/>
  <c r="C42" i="5" s="1"/>
  <c r="F24" i="93"/>
  <c r="C18" i="5" s="1"/>
  <c r="BD105" i="104"/>
  <c r="BB105" i="104"/>
  <c r="AJ104" i="104"/>
  <c r="AZ105" i="104"/>
  <c r="AX105" i="104"/>
  <c r="F22" i="13"/>
  <c r="C100" i="5" s="1"/>
  <c r="AV105" i="104"/>
  <c r="F22" i="102"/>
  <c r="C9" i="5" s="1"/>
  <c r="F9" i="61"/>
  <c r="C50" i="5" s="1"/>
  <c r="F30" i="36"/>
  <c r="C76" i="5" s="1"/>
  <c r="F17" i="27"/>
  <c r="C85" i="5" s="1"/>
  <c r="F27" i="23"/>
  <c r="C89" i="5" s="1"/>
  <c r="F23" i="49"/>
  <c r="C63" i="5" s="1"/>
  <c r="F21" i="54"/>
  <c r="C58" i="5" s="1"/>
  <c r="F21" i="86"/>
  <c r="C25" i="5" s="1"/>
  <c r="AL104" i="104"/>
  <c r="Q51" i="104"/>
  <c r="Q71" i="104"/>
  <c r="F19" i="16"/>
  <c r="C97" i="5" s="1"/>
  <c r="F21" i="79"/>
  <c r="C32" i="5" s="1"/>
  <c r="F28" i="17"/>
  <c r="C95" i="5" s="1"/>
  <c r="F6" i="7"/>
  <c r="C5" i="5" s="1"/>
  <c r="AH104" i="104"/>
  <c r="AH105" i="104" s="1"/>
  <c r="F17" i="8"/>
  <c r="C6" i="5" s="1"/>
  <c r="D3" i="64"/>
  <c r="AS104" i="104"/>
  <c r="F15" i="64"/>
  <c r="C47" i="5" s="1"/>
  <c r="Q96" i="104"/>
  <c r="F104" i="104"/>
  <c r="Q98" i="104"/>
  <c r="H104" i="104"/>
  <c r="B10" i="107" s="1"/>
  <c r="C103" i="5" l="1"/>
  <c r="AA5" i="104"/>
  <c r="AR105" i="104"/>
  <c r="AN105" i="104"/>
  <c r="AJ105" i="104"/>
  <c r="AL105" i="104"/>
  <c r="P48" i="104"/>
  <c r="P104" i="104" s="1"/>
  <c r="D3" i="53"/>
  <c r="Q48" i="104"/>
  <c r="AT104" i="104"/>
  <c r="AT105" i="104" s="1"/>
  <c r="L104" i="104" l="1"/>
  <c r="Q104" i="104"/>
  <c r="D10" i="107" s="1"/>
  <c r="I10" i="107" l="1"/>
  <c r="E10" i="107"/>
  <c r="H10" i="107" s="1"/>
  <c r="V7" i="104"/>
  <c r="W7" i="104" s="1"/>
  <c r="Y7" i="104" s="1"/>
  <c r="V6" i="104"/>
  <c r="W6" i="104" s="1"/>
  <c r="Y6" i="104" s="1"/>
  <c r="Z6" i="104" l="1"/>
  <c r="X6" i="104"/>
  <c r="Z7" i="104"/>
  <c r="AA7" i="104" s="1"/>
  <c r="X7" i="104"/>
  <c r="V8" i="104"/>
  <c r="W8" i="104" s="1"/>
  <c r="Y8" i="104" s="1"/>
  <c r="V9" i="104"/>
  <c r="W9" i="104" s="1"/>
  <c r="Y9" i="104" s="1"/>
  <c r="V10" i="104"/>
  <c r="W10" i="104" s="1"/>
  <c r="Y10" i="104" s="1"/>
  <c r="V11" i="104"/>
  <c r="W11" i="104" s="1"/>
  <c r="Y11" i="104" s="1"/>
  <c r="V12" i="104"/>
  <c r="W12" i="104" s="1"/>
  <c r="Y12" i="104" s="1"/>
  <c r="V13" i="104"/>
  <c r="W13" i="104" s="1"/>
  <c r="Y13" i="104" s="1"/>
  <c r="V14" i="104"/>
  <c r="W14" i="104" s="1"/>
  <c r="Y14" i="104" s="1"/>
  <c r="V15" i="104"/>
  <c r="W15" i="104" s="1"/>
  <c r="Y15" i="104" s="1"/>
  <c r="V16" i="104"/>
  <c r="W16" i="104" s="1"/>
  <c r="Y16" i="104" s="1"/>
  <c r="V17" i="104"/>
  <c r="W17" i="104" s="1"/>
  <c r="Y17" i="104" s="1"/>
  <c r="V18" i="104"/>
  <c r="W18" i="104" s="1"/>
  <c r="Y18" i="104" s="1"/>
  <c r="V19" i="104"/>
  <c r="W19" i="104" s="1"/>
  <c r="Y19" i="104" s="1"/>
  <c r="V20" i="104"/>
  <c r="W20" i="104" s="1"/>
  <c r="Y20" i="104" s="1"/>
  <c r="V21" i="104"/>
  <c r="W21" i="104" s="1"/>
  <c r="Y21" i="104" s="1"/>
  <c r="V22" i="104"/>
  <c r="W22" i="104" s="1"/>
  <c r="Y22" i="104" s="1"/>
  <c r="V23" i="104"/>
  <c r="W23" i="104" s="1"/>
  <c r="Y23" i="104" s="1"/>
  <c r="V24" i="104"/>
  <c r="W24" i="104" s="1"/>
  <c r="Y24" i="104" s="1"/>
  <c r="V25" i="104"/>
  <c r="W25" i="104" s="1"/>
  <c r="Y25" i="104" s="1"/>
  <c r="V26" i="104"/>
  <c r="W26" i="104" s="1"/>
  <c r="Y26" i="104" s="1"/>
  <c r="V27" i="104"/>
  <c r="W27" i="104" s="1"/>
  <c r="Y27" i="104" s="1"/>
  <c r="V28" i="104"/>
  <c r="W28" i="104" s="1"/>
  <c r="Y28" i="104" s="1"/>
  <c r="V29" i="104"/>
  <c r="W29" i="104" s="1"/>
  <c r="Y29" i="104" s="1"/>
  <c r="V30" i="104"/>
  <c r="W30" i="104" s="1"/>
  <c r="Y30" i="104" s="1"/>
  <c r="V31" i="104"/>
  <c r="W31" i="104" s="1"/>
  <c r="Y31" i="104" s="1"/>
  <c r="V32" i="104"/>
  <c r="W32" i="104" s="1"/>
  <c r="Y32" i="104" s="1"/>
  <c r="V33" i="104"/>
  <c r="W33" i="104" s="1"/>
  <c r="Y33" i="104" s="1"/>
  <c r="V34" i="104"/>
  <c r="W34" i="104" s="1"/>
  <c r="Y34" i="104" s="1"/>
  <c r="V35" i="104"/>
  <c r="W35" i="104" s="1"/>
  <c r="Y35" i="104" s="1"/>
  <c r="V36" i="104"/>
  <c r="W36" i="104" s="1"/>
  <c r="Y36" i="104" s="1"/>
  <c r="V37" i="104"/>
  <c r="W37" i="104" s="1"/>
  <c r="Y37" i="104" s="1"/>
  <c r="V38" i="104"/>
  <c r="W38" i="104" s="1"/>
  <c r="Y38" i="104" s="1"/>
  <c r="V39" i="104"/>
  <c r="W39" i="104" s="1"/>
  <c r="Y39" i="104" s="1"/>
  <c r="V40" i="104"/>
  <c r="W40" i="104" s="1"/>
  <c r="Y40" i="104" s="1"/>
  <c r="V41" i="104"/>
  <c r="W41" i="104" s="1"/>
  <c r="Y41" i="104" s="1"/>
  <c r="V42" i="104"/>
  <c r="W42" i="104" s="1"/>
  <c r="Y42" i="104" s="1"/>
  <c r="V43" i="104"/>
  <c r="W43" i="104" s="1"/>
  <c r="Y43" i="104" s="1"/>
  <c r="V44" i="104"/>
  <c r="W44" i="104" s="1"/>
  <c r="Y44" i="104" s="1"/>
  <c r="V45" i="104"/>
  <c r="W45" i="104" s="1"/>
  <c r="Y45" i="104" s="1"/>
  <c r="V46" i="104"/>
  <c r="W46" i="104" s="1"/>
  <c r="Y46" i="104" s="1"/>
  <c r="V47" i="104"/>
  <c r="W47" i="104" s="1"/>
  <c r="Y47" i="104" s="1"/>
  <c r="V48" i="104"/>
  <c r="W48" i="104" s="1"/>
  <c r="Y48" i="104" s="1"/>
  <c r="V49" i="104"/>
  <c r="W49" i="104" s="1"/>
  <c r="Y49" i="104" s="1"/>
  <c r="V50" i="104"/>
  <c r="W50" i="104" s="1"/>
  <c r="Y50" i="104" s="1"/>
  <c r="V51" i="104"/>
  <c r="W51" i="104" s="1"/>
  <c r="Y51" i="104" s="1"/>
  <c r="V52" i="104"/>
  <c r="W52" i="104" s="1"/>
  <c r="Y52" i="104" s="1"/>
  <c r="V53" i="104"/>
  <c r="W53" i="104" s="1"/>
  <c r="Y53" i="104" s="1"/>
  <c r="V54" i="104"/>
  <c r="W54" i="104" s="1"/>
  <c r="Y54" i="104" s="1"/>
  <c r="V55" i="104"/>
  <c r="W55" i="104" s="1"/>
  <c r="Y55" i="104" s="1"/>
  <c r="V56" i="104"/>
  <c r="W56" i="104" s="1"/>
  <c r="Y56" i="104" s="1"/>
  <c r="V57" i="104"/>
  <c r="W57" i="104" s="1"/>
  <c r="Y57" i="104" s="1"/>
  <c r="V58" i="104"/>
  <c r="W58" i="104" s="1"/>
  <c r="Y58" i="104" s="1"/>
  <c r="V59" i="104"/>
  <c r="W59" i="104" s="1"/>
  <c r="Y59" i="104" s="1"/>
  <c r="V60" i="104"/>
  <c r="W60" i="104" s="1"/>
  <c r="Y60" i="104" s="1"/>
  <c r="V61" i="104"/>
  <c r="W61" i="104" s="1"/>
  <c r="Y61" i="104" s="1"/>
  <c r="V62" i="104"/>
  <c r="W62" i="104" s="1"/>
  <c r="Y62" i="104" s="1"/>
  <c r="V63" i="104"/>
  <c r="W63" i="104" s="1"/>
  <c r="Y63" i="104" s="1"/>
  <c r="V64" i="104"/>
  <c r="W64" i="104" s="1"/>
  <c r="Y64" i="104" s="1"/>
  <c r="V65" i="104"/>
  <c r="W65" i="104" s="1"/>
  <c r="Y65" i="104" s="1"/>
  <c r="V66" i="104"/>
  <c r="W66" i="104" s="1"/>
  <c r="Y66" i="104" s="1"/>
  <c r="V67" i="104"/>
  <c r="W67" i="104" s="1"/>
  <c r="Y67" i="104" s="1"/>
  <c r="V68" i="104"/>
  <c r="W68" i="104" s="1"/>
  <c r="Y68" i="104" s="1"/>
  <c r="V69" i="104"/>
  <c r="W69" i="104" s="1"/>
  <c r="Y69" i="104" s="1"/>
  <c r="V70" i="104"/>
  <c r="W70" i="104" s="1"/>
  <c r="Y70" i="104" s="1"/>
  <c r="V71" i="104"/>
  <c r="W71" i="104" s="1"/>
  <c r="Y71" i="104" s="1"/>
  <c r="V72" i="104"/>
  <c r="W72" i="104" s="1"/>
  <c r="Y72" i="104" s="1"/>
  <c r="V73" i="104"/>
  <c r="W73" i="104" s="1"/>
  <c r="Y73" i="104" s="1"/>
  <c r="V74" i="104"/>
  <c r="W74" i="104" s="1"/>
  <c r="Y74" i="104" s="1"/>
  <c r="V75" i="104"/>
  <c r="W75" i="104" s="1"/>
  <c r="Y75" i="104" s="1"/>
  <c r="V76" i="104"/>
  <c r="W76" i="104" s="1"/>
  <c r="Y76" i="104" s="1"/>
  <c r="V77" i="104"/>
  <c r="W77" i="104" s="1"/>
  <c r="Y77" i="104" s="1"/>
  <c r="V78" i="104"/>
  <c r="W78" i="104" s="1"/>
  <c r="Y78" i="104" s="1"/>
  <c r="V79" i="104"/>
  <c r="W79" i="104" s="1"/>
  <c r="Y79" i="104" s="1"/>
  <c r="V80" i="104"/>
  <c r="Y80" i="104" s="1"/>
  <c r="V81" i="104"/>
  <c r="W81" i="104" s="1"/>
  <c r="Y81" i="104" s="1"/>
  <c r="V82" i="104"/>
  <c r="W82" i="104" s="1"/>
  <c r="Y82" i="104" s="1"/>
  <c r="V83" i="104"/>
  <c r="W83" i="104" s="1"/>
  <c r="Y83" i="104" s="1"/>
  <c r="V84" i="104"/>
  <c r="W84" i="104" s="1"/>
  <c r="Y84" i="104" s="1"/>
  <c r="V85" i="104"/>
  <c r="W85" i="104" s="1"/>
  <c r="Y85" i="104" s="1"/>
  <c r="V86" i="104"/>
  <c r="W86" i="104" s="1"/>
  <c r="Y86" i="104" s="1"/>
  <c r="V87" i="104"/>
  <c r="W87" i="104" s="1"/>
  <c r="Y87" i="104" s="1"/>
  <c r="V88" i="104"/>
  <c r="W88" i="104" s="1"/>
  <c r="Y88" i="104" s="1"/>
  <c r="V89" i="104"/>
  <c r="W89" i="104" s="1"/>
  <c r="Y89" i="104" s="1"/>
  <c r="V90" i="104"/>
  <c r="W90" i="104" s="1"/>
  <c r="Y90" i="104" s="1"/>
  <c r="V91" i="104"/>
  <c r="W91" i="104" s="1"/>
  <c r="Y91" i="104" s="1"/>
  <c r="V92" i="104"/>
  <c r="W92" i="104" s="1"/>
  <c r="Y92" i="104" s="1"/>
  <c r="V93" i="104"/>
  <c r="W93" i="104" s="1"/>
  <c r="Y93" i="104" s="1"/>
  <c r="V94" i="104"/>
  <c r="W94" i="104" s="1"/>
  <c r="Y94" i="104" s="1"/>
  <c r="V95" i="104"/>
  <c r="W95" i="104" s="1"/>
  <c r="Y95" i="104" s="1"/>
  <c r="V96" i="104"/>
  <c r="W96" i="104" s="1"/>
  <c r="Y96" i="104" s="1"/>
  <c r="V97" i="104"/>
  <c r="W97" i="104" s="1"/>
  <c r="Y97" i="104" s="1"/>
  <c r="V98" i="104"/>
  <c r="W98" i="104" s="1"/>
  <c r="Y98" i="104" s="1"/>
  <c r="V99" i="104"/>
  <c r="W99" i="104" s="1"/>
  <c r="Y99" i="104" s="1"/>
  <c r="V100" i="104"/>
  <c r="W100" i="104" s="1"/>
  <c r="Y100" i="104" s="1"/>
  <c r="V101" i="104"/>
  <c r="W101" i="104" s="1"/>
  <c r="Y101" i="104" s="1"/>
  <c r="V102" i="104"/>
  <c r="W102" i="104" s="1"/>
  <c r="Y102" i="104" s="1"/>
  <c r="V103" i="104"/>
  <c r="W103" i="104" s="1"/>
  <c r="Y103" i="104" s="1"/>
  <c r="AA6" i="104" l="1"/>
  <c r="Z99" i="104"/>
  <c r="AA99" i="104" s="1"/>
  <c r="X99" i="104"/>
  <c r="Z51" i="104"/>
  <c r="AA51" i="104" s="1"/>
  <c r="X51" i="104"/>
  <c r="X98" i="104"/>
  <c r="Z98" i="104"/>
  <c r="AA98" i="104" s="1"/>
  <c r="X66" i="104"/>
  <c r="Z66" i="104"/>
  <c r="AA66" i="104" s="1"/>
  <c r="X58" i="104"/>
  <c r="Z58" i="104"/>
  <c r="AA58" i="104" s="1"/>
  <c r="X50" i="104"/>
  <c r="Z50" i="104"/>
  <c r="AA50" i="104" s="1"/>
  <c r="X42" i="104"/>
  <c r="Z42" i="104"/>
  <c r="AA42" i="104" s="1"/>
  <c r="X34" i="104"/>
  <c r="Z34" i="104"/>
  <c r="AA34" i="104" s="1"/>
  <c r="X26" i="104"/>
  <c r="Z26" i="104"/>
  <c r="AA26" i="104" s="1"/>
  <c r="X18" i="104"/>
  <c r="Z18" i="104"/>
  <c r="AA18" i="104" s="1"/>
  <c r="X10" i="104"/>
  <c r="Z10" i="104"/>
  <c r="AA10" i="104" s="1"/>
  <c r="Z67" i="104"/>
  <c r="AA67" i="104" s="1"/>
  <c r="X67" i="104"/>
  <c r="X81" i="104"/>
  <c r="Z81" i="104"/>
  <c r="AA81" i="104" s="1"/>
  <c r="X57" i="104"/>
  <c r="Z57" i="104"/>
  <c r="AA57" i="104" s="1"/>
  <c r="X49" i="104"/>
  <c r="Z49" i="104"/>
  <c r="AA49" i="104" s="1"/>
  <c r="X41" i="104"/>
  <c r="Z41" i="104"/>
  <c r="AA41" i="104" s="1"/>
  <c r="X33" i="104"/>
  <c r="Z33" i="104"/>
  <c r="AA33" i="104" s="1"/>
  <c r="X25" i="104"/>
  <c r="Z25" i="104"/>
  <c r="AA25" i="104" s="1"/>
  <c r="X17" i="104"/>
  <c r="Z17" i="104"/>
  <c r="AA17" i="104" s="1"/>
  <c r="X9" i="104"/>
  <c r="Z9" i="104"/>
  <c r="AA9" i="104" s="1"/>
  <c r="Z83" i="104"/>
  <c r="AA83" i="104" s="1"/>
  <c r="X83" i="104"/>
  <c r="Z27" i="104"/>
  <c r="AA27" i="104" s="1"/>
  <c r="X27" i="104"/>
  <c r="X82" i="104"/>
  <c r="Z82" i="104"/>
  <c r="AA82" i="104" s="1"/>
  <c r="X96" i="104"/>
  <c r="Z96" i="104"/>
  <c r="AA96" i="104" s="1"/>
  <c r="X64" i="104"/>
  <c r="Z64" i="104"/>
  <c r="AA64" i="104" s="1"/>
  <c r="X56" i="104"/>
  <c r="Z56" i="104"/>
  <c r="AA56" i="104" s="1"/>
  <c r="X48" i="104"/>
  <c r="Z48" i="104"/>
  <c r="AA48" i="104" s="1"/>
  <c r="X40" i="104"/>
  <c r="Z40" i="104"/>
  <c r="AA40" i="104" s="1"/>
  <c r="X32" i="104"/>
  <c r="Z32" i="104"/>
  <c r="AA32" i="104" s="1"/>
  <c r="X24" i="104"/>
  <c r="Z24" i="104"/>
  <c r="AA24" i="104" s="1"/>
  <c r="X16" i="104"/>
  <c r="Z16" i="104"/>
  <c r="AA16" i="104" s="1"/>
  <c r="X8" i="104"/>
  <c r="Z8" i="104"/>
  <c r="AA8" i="104" s="1"/>
  <c r="Z11" i="104"/>
  <c r="AA11" i="104" s="1"/>
  <c r="X11" i="104"/>
  <c r="X97" i="104"/>
  <c r="Z97" i="104"/>
  <c r="AA97" i="104" s="1"/>
  <c r="X80" i="104"/>
  <c r="Z80" i="104"/>
  <c r="AA80" i="104" s="1"/>
  <c r="Z87" i="104"/>
  <c r="AA87" i="104" s="1"/>
  <c r="X87" i="104"/>
  <c r="Z71" i="104"/>
  <c r="AA71" i="104" s="1"/>
  <c r="X71" i="104"/>
  <c r="Z63" i="104"/>
  <c r="AA63" i="104" s="1"/>
  <c r="X63" i="104"/>
  <c r="Z55" i="104"/>
  <c r="AA55" i="104" s="1"/>
  <c r="X55" i="104"/>
  <c r="Z47" i="104"/>
  <c r="AA47" i="104" s="1"/>
  <c r="X47" i="104"/>
  <c r="Z39" i="104"/>
  <c r="AA39" i="104" s="1"/>
  <c r="X39" i="104"/>
  <c r="Z31" i="104"/>
  <c r="AA31" i="104" s="1"/>
  <c r="X31" i="104"/>
  <c r="Z23" i="104"/>
  <c r="AA23" i="104" s="1"/>
  <c r="X23" i="104"/>
  <c r="Z15" i="104"/>
  <c r="AA15" i="104" s="1"/>
  <c r="X15" i="104"/>
  <c r="Z91" i="104"/>
  <c r="AA91" i="104" s="1"/>
  <c r="X91" i="104"/>
  <c r="Z43" i="104"/>
  <c r="AA43" i="104" s="1"/>
  <c r="X43" i="104"/>
  <c r="X74" i="104"/>
  <c r="Z74" i="104"/>
  <c r="AA74" i="104" s="1"/>
  <c r="X88" i="104"/>
  <c r="Z88" i="104"/>
  <c r="AA88" i="104" s="1"/>
  <c r="Z95" i="104"/>
  <c r="AA95" i="104" s="1"/>
  <c r="X95" i="104"/>
  <c r="Z102" i="104"/>
  <c r="AA102" i="104" s="1"/>
  <c r="X102" i="104"/>
  <c r="Z86" i="104"/>
  <c r="AA86" i="104" s="1"/>
  <c r="X86" i="104"/>
  <c r="Z78" i="104"/>
  <c r="AA78" i="104" s="1"/>
  <c r="X78" i="104"/>
  <c r="Z70" i="104"/>
  <c r="AA70" i="104" s="1"/>
  <c r="X70" i="104"/>
  <c r="Z62" i="104"/>
  <c r="AA62" i="104" s="1"/>
  <c r="X62" i="104"/>
  <c r="Z54" i="104"/>
  <c r="AA54" i="104" s="1"/>
  <c r="X54" i="104"/>
  <c r="Z46" i="104"/>
  <c r="AA46" i="104" s="1"/>
  <c r="X46" i="104"/>
  <c r="Z38" i="104"/>
  <c r="AA38" i="104" s="1"/>
  <c r="X38" i="104"/>
  <c r="Z30" i="104"/>
  <c r="AA30" i="104" s="1"/>
  <c r="X30" i="104"/>
  <c r="Z22" i="104"/>
  <c r="AA22" i="104" s="1"/>
  <c r="X22" i="104"/>
  <c r="Z14" i="104"/>
  <c r="AA14" i="104" s="1"/>
  <c r="X14" i="104"/>
  <c r="Z59" i="104"/>
  <c r="AA59" i="104" s="1"/>
  <c r="X59" i="104"/>
  <c r="Z19" i="104"/>
  <c r="AA19" i="104" s="1"/>
  <c r="X19" i="104"/>
  <c r="X89" i="104"/>
  <c r="Z89" i="104"/>
  <c r="AA89" i="104" s="1"/>
  <c r="X65" i="104"/>
  <c r="Z65" i="104"/>
  <c r="AA65" i="104" s="1"/>
  <c r="Z103" i="104"/>
  <c r="AA103" i="104" s="1"/>
  <c r="X103" i="104"/>
  <c r="Z79" i="104"/>
  <c r="AA79" i="104" s="1"/>
  <c r="X79" i="104"/>
  <c r="Z94" i="104"/>
  <c r="AA94" i="104" s="1"/>
  <c r="X94" i="104"/>
  <c r="Z101" i="104"/>
  <c r="AA101" i="104" s="1"/>
  <c r="X101" i="104"/>
  <c r="Z93" i="104"/>
  <c r="AA93" i="104" s="1"/>
  <c r="X93" i="104"/>
  <c r="Z85" i="104"/>
  <c r="AA85" i="104" s="1"/>
  <c r="X85" i="104"/>
  <c r="Z77" i="104"/>
  <c r="AA77" i="104" s="1"/>
  <c r="X77" i="104"/>
  <c r="Z69" i="104"/>
  <c r="AA69" i="104" s="1"/>
  <c r="X69" i="104"/>
  <c r="Z61" i="104"/>
  <c r="AA61" i="104" s="1"/>
  <c r="X61" i="104"/>
  <c r="Z53" i="104"/>
  <c r="AA53" i="104" s="1"/>
  <c r="X53" i="104"/>
  <c r="Z45" i="104"/>
  <c r="AA45" i="104" s="1"/>
  <c r="X45" i="104"/>
  <c r="Z37" i="104"/>
  <c r="AA37" i="104" s="1"/>
  <c r="X37" i="104"/>
  <c r="Z29" i="104"/>
  <c r="AA29" i="104" s="1"/>
  <c r="X29" i="104"/>
  <c r="Z21" i="104"/>
  <c r="AA21" i="104" s="1"/>
  <c r="X21" i="104"/>
  <c r="Z13" i="104"/>
  <c r="AA13" i="104" s="1"/>
  <c r="X13" i="104"/>
  <c r="Z75" i="104"/>
  <c r="AA75" i="104" s="1"/>
  <c r="X75" i="104"/>
  <c r="Z35" i="104"/>
  <c r="AA35" i="104" s="1"/>
  <c r="X35" i="104"/>
  <c r="X90" i="104"/>
  <c r="Z90" i="104"/>
  <c r="AA90" i="104" s="1"/>
  <c r="X73" i="104"/>
  <c r="Z73" i="104"/>
  <c r="AA73" i="104" s="1"/>
  <c r="X72" i="104"/>
  <c r="Z72" i="104"/>
  <c r="AA72" i="104" s="1"/>
  <c r="Z100" i="104"/>
  <c r="AA100" i="104" s="1"/>
  <c r="X100" i="104"/>
  <c r="Z92" i="104"/>
  <c r="AA92" i="104" s="1"/>
  <c r="X92" i="104"/>
  <c r="Z84" i="104"/>
  <c r="AA84" i="104" s="1"/>
  <c r="X84" i="104"/>
  <c r="Z76" i="104"/>
  <c r="AA76" i="104" s="1"/>
  <c r="X76" i="104"/>
  <c r="Z68" i="104"/>
  <c r="AA68" i="104" s="1"/>
  <c r="X68" i="104"/>
  <c r="Z60" i="104"/>
  <c r="AA60" i="104" s="1"/>
  <c r="X60" i="104"/>
  <c r="Z52" i="104"/>
  <c r="AA52" i="104" s="1"/>
  <c r="X52" i="104"/>
  <c r="Z44" i="104"/>
  <c r="AA44" i="104" s="1"/>
  <c r="X44" i="104"/>
  <c r="Z36" i="104"/>
  <c r="AA36" i="104" s="1"/>
  <c r="X36" i="104"/>
  <c r="Z28" i="104"/>
  <c r="AA28" i="104" s="1"/>
  <c r="X28" i="104"/>
  <c r="Z20" i="104"/>
  <c r="AA20" i="104" s="1"/>
  <c r="X20" i="104"/>
  <c r="Z12" i="104"/>
  <c r="AA12" i="104" s="1"/>
  <c r="X12" i="104"/>
  <c r="V104" i="104"/>
  <c r="Z104" i="104" l="1"/>
  <c r="AA104" i="104"/>
  <c r="AB16" i="104" s="1"/>
  <c r="AC16" i="104" l="1"/>
  <c r="AF16" i="104" s="1"/>
  <c r="AB59" i="104"/>
  <c r="AC59" i="104" s="1"/>
  <c r="AF59" i="104" s="1"/>
  <c r="AB87" i="104"/>
  <c r="AC87" i="104" s="1"/>
  <c r="AF87" i="104" s="1"/>
  <c r="AB15" i="104"/>
  <c r="AC15" i="104" s="1"/>
  <c r="AF15" i="104" s="1"/>
  <c r="AB103" i="104"/>
  <c r="AC103" i="104" s="1"/>
  <c r="AF103" i="104" s="1"/>
  <c r="AB66" i="104"/>
  <c r="AC66" i="104" s="1"/>
  <c r="AF66" i="104" s="1"/>
  <c r="AB71" i="104"/>
  <c r="AC71" i="104" s="1"/>
  <c r="AF71" i="104" s="1"/>
  <c r="AB30" i="104"/>
  <c r="AC30" i="104" s="1"/>
  <c r="AF30" i="104" s="1"/>
  <c r="AB11" i="104"/>
  <c r="AC11" i="104" s="1"/>
  <c r="AF11" i="104" s="1"/>
  <c r="AB47" i="104"/>
  <c r="AC47" i="104" s="1"/>
  <c r="AF47" i="104" s="1"/>
  <c r="AB44" i="104"/>
  <c r="AC44" i="104" s="1"/>
  <c r="AF44" i="104" s="1"/>
  <c r="AB89" i="104"/>
  <c r="AC89" i="104" s="1"/>
  <c r="AF89" i="104" s="1"/>
  <c r="AB19" i="104"/>
  <c r="AC19" i="104" s="1"/>
  <c r="AF19" i="104" s="1"/>
  <c r="AB6" i="104"/>
  <c r="AC6" i="104" s="1"/>
  <c r="AF6" i="104" s="1"/>
  <c r="AB28" i="104"/>
  <c r="AC28" i="104" s="1"/>
  <c r="AF28" i="104" s="1"/>
  <c r="AB18" i="104"/>
  <c r="AC18" i="104" s="1"/>
  <c r="AF18" i="104" s="1"/>
  <c r="AB78" i="104"/>
  <c r="AC78" i="104" s="1"/>
  <c r="AF78" i="104" s="1"/>
  <c r="AB8" i="104"/>
  <c r="AC8" i="104" s="1"/>
  <c r="AF8" i="104" s="1"/>
  <c r="AB36" i="104"/>
  <c r="AC36" i="104" s="1"/>
  <c r="AF36" i="104" s="1"/>
  <c r="AB22" i="104"/>
  <c r="AC22" i="104" s="1"/>
  <c r="AF22" i="104" s="1"/>
  <c r="AB37" i="104"/>
  <c r="AC37" i="104" s="1"/>
  <c r="AF37" i="104" s="1"/>
  <c r="AB88" i="104"/>
  <c r="AC88" i="104" s="1"/>
  <c r="AF88" i="104" s="1"/>
  <c r="AB56" i="104"/>
  <c r="AC56" i="104" s="1"/>
  <c r="AF56" i="104" s="1"/>
  <c r="AB94" i="104"/>
  <c r="AC94" i="104" s="1"/>
  <c r="AF94" i="104" s="1"/>
  <c r="AB75" i="104"/>
  <c r="AC75" i="104" s="1"/>
  <c r="AF75" i="104" s="1"/>
  <c r="AB65" i="104"/>
  <c r="AC65" i="104" s="1"/>
  <c r="AF65" i="104" s="1"/>
  <c r="AB57" i="104"/>
  <c r="AC57" i="104" s="1"/>
  <c r="AF57" i="104" s="1"/>
  <c r="AB98" i="104"/>
  <c r="AC98" i="104" s="1"/>
  <c r="AF98" i="104" s="1"/>
  <c r="AB76" i="104"/>
  <c r="AC76" i="104" s="1"/>
  <c r="AF76" i="104" s="1"/>
  <c r="AB83" i="104"/>
  <c r="AC83" i="104" s="1"/>
  <c r="AF83" i="104" s="1"/>
  <c r="AB51" i="104"/>
  <c r="AC51" i="104" s="1"/>
  <c r="AF51" i="104" s="1"/>
  <c r="AB42" i="104"/>
  <c r="AC42" i="104" s="1"/>
  <c r="AF42" i="104" s="1"/>
  <c r="AB93" i="104"/>
  <c r="AC93" i="104" s="1"/>
  <c r="AF93" i="104" s="1"/>
  <c r="AB58" i="104"/>
  <c r="AC58" i="104" s="1"/>
  <c r="AF58" i="104" s="1"/>
  <c r="AB27" i="104"/>
  <c r="AC27" i="104" s="1"/>
  <c r="AF27" i="104" s="1"/>
  <c r="AB79" i="104"/>
  <c r="AC79" i="104" s="1"/>
  <c r="AF79" i="104" s="1"/>
  <c r="AB24" i="104"/>
  <c r="AC24" i="104" s="1"/>
  <c r="AF24" i="104" s="1"/>
  <c r="AB77" i="104"/>
  <c r="AC77" i="104" s="1"/>
  <c r="AF77" i="104" s="1"/>
  <c r="AB10" i="104"/>
  <c r="AC10" i="104" s="1"/>
  <c r="AF10" i="104" s="1"/>
  <c r="AB72" i="104"/>
  <c r="AC72" i="104" s="1"/>
  <c r="AF72" i="104" s="1"/>
  <c r="AB39" i="104"/>
  <c r="AC39" i="104" s="1"/>
  <c r="AF39" i="104" s="1"/>
  <c r="AB61" i="104"/>
  <c r="AC61" i="104" s="1"/>
  <c r="AF61" i="104" s="1"/>
  <c r="AB26" i="104"/>
  <c r="AC26" i="104" s="1"/>
  <c r="AF26" i="104" s="1"/>
  <c r="AB63" i="104"/>
  <c r="AC63" i="104" s="1"/>
  <c r="AF63" i="104" s="1"/>
  <c r="AB85" i="104"/>
  <c r="AC85" i="104" s="1"/>
  <c r="AF85" i="104" s="1"/>
  <c r="AB82" i="104"/>
  <c r="AC82" i="104" s="1"/>
  <c r="AF82" i="104" s="1"/>
  <c r="AB45" i="104"/>
  <c r="AC45" i="104" s="1"/>
  <c r="AF45" i="104" s="1"/>
  <c r="AB49" i="104"/>
  <c r="AC49" i="104" s="1"/>
  <c r="AF49" i="104" s="1"/>
  <c r="AB12" i="104"/>
  <c r="AC12" i="104" s="1"/>
  <c r="AF12" i="104" s="1"/>
  <c r="AB91" i="104"/>
  <c r="AC91" i="104" s="1"/>
  <c r="AF91" i="104" s="1"/>
  <c r="AB29" i="104"/>
  <c r="AC29" i="104" s="1"/>
  <c r="AF29" i="104" s="1"/>
  <c r="AB81" i="104"/>
  <c r="AC81" i="104" s="1"/>
  <c r="AF81" i="104" s="1"/>
  <c r="AB31" i="104"/>
  <c r="AC31" i="104" s="1"/>
  <c r="AF31" i="104" s="1"/>
  <c r="AB53" i="104"/>
  <c r="AC53" i="104" s="1"/>
  <c r="AF53" i="104" s="1"/>
  <c r="AB55" i="104"/>
  <c r="AC55" i="104" s="1"/>
  <c r="AF55" i="104" s="1"/>
  <c r="AB13" i="104"/>
  <c r="AC13" i="104" s="1"/>
  <c r="AF13" i="104" s="1"/>
  <c r="AB17" i="104"/>
  <c r="AC17" i="104" s="1"/>
  <c r="AF17" i="104" s="1"/>
  <c r="AB34" i="104"/>
  <c r="AC34" i="104" s="1"/>
  <c r="AF34" i="104" s="1"/>
  <c r="AB46" i="104"/>
  <c r="AC46" i="104" s="1"/>
  <c r="AF46" i="104" s="1"/>
  <c r="AB25" i="104"/>
  <c r="AC25" i="104" s="1"/>
  <c r="AF25" i="104" s="1"/>
  <c r="AB14" i="104"/>
  <c r="AC14" i="104" s="1"/>
  <c r="AF14" i="104" s="1"/>
  <c r="AB9" i="104"/>
  <c r="AC9" i="104" s="1"/>
  <c r="AF9" i="104" s="1"/>
  <c r="AB95" i="104"/>
  <c r="AC95" i="104" s="1"/>
  <c r="AF95" i="104" s="1"/>
  <c r="AB35" i="104"/>
  <c r="AC35" i="104" s="1"/>
  <c r="AF35" i="104" s="1"/>
  <c r="AB33" i="104"/>
  <c r="AC33" i="104" s="1"/>
  <c r="AF33" i="104" s="1"/>
  <c r="AB43" i="104"/>
  <c r="AC43" i="104" s="1"/>
  <c r="AF43" i="104" s="1"/>
  <c r="AB21" i="104"/>
  <c r="AC21" i="104" s="1"/>
  <c r="AF21" i="104" s="1"/>
  <c r="AB23" i="104"/>
  <c r="AC23" i="104" s="1"/>
  <c r="AF23" i="104" s="1"/>
  <c r="AB84" i="104"/>
  <c r="AC84" i="104" s="1"/>
  <c r="AF84" i="104" s="1"/>
  <c r="AB5" i="104"/>
  <c r="AC5" i="104" s="1"/>
  <c r="AF5" i="104" s="1"/>
  <c r="AB7" i="104"/>
  <c r="AC7" i="104" s="1"/>
  <c r="AF7" i="104" s="1"/>
  <c r="AB50" i="104"/>
  <c r="AC50" i="104" s="1"/>
  <c r="AF50" i="104" s="1"/>
  <c r="AB90" i="104"/>
  <c r="AC90" i="104" s="1"/>
  <c r="AF90" i="104" s="1"/>
  <c r="AB101" i="104"/>
  <c r="AC101" i="104" s="1"/>
  <c r="AF101" i="104" s="1"/>
  <c r="AB96" i="104"/>
  <c r="AC96" i="104" s="1"/>
  <c r="AF96" i="104" s="1"/>
  <c r="AB80" i="104"/>
  <c r="AC80" i="104" s="1"/>
  <c r="AF80" i="104" s="1"/>
  <c r="AB70" i="104"/>
  <c r="AC70" i="104" s="1"/>
  <c r="AF70" i="104" s="1"/>
  <c r="AB100" i="104"/>
  <c r="AC100" i="104" s="1"/>
  <c r="AF100" i="104" s="1"/>
  <c r="AB64" i="104"/>
  <c r="AC64" i="104" s="1"/>
  <c r="AF64" i="104" s="1"/>
  <c r="AB102" i="104"/>
  <c r="AC102" i="104" s="1"/>
  <c r="AF102" i="104" s="1"/>
  <c r="AB92" i="104"/>
  <c r="AC92" i="104" s="1"/>
  <c r="AF92" i="104" s="1"/>
  <c r="AB86" i="104"/>
  <c r="AC86" i="104" s="1"/>
  <c r="AF86" i="104" s="1"/>
  <c r="AB52" i="104"/>
  <c r="AC52" i="104" s="1"/>
  <c r="AF52" i="104" s="1"/>
  <c r="AB74" i="104"/>
  <c r="AC74" i="104" s="1"/>
  <c r="AF74" i="104" s="1"/>
  <c r="AB41" i="104"/>
  <c r="AC41" i="104" s="1"/>
  <c r="AF41" i="104" s="1"/>
  <c r="AB97" i="104"/>
  <c r="AC97" i="104" s="1"/>
  <c r="AF97" i="104" s="1"/>
  <c r="AB67" i="104"/>
  <c r="AC67" i="104" s="1"/>
  <c r="AF67" i="104" s="1"/>
  <c r="AB69" i="104"/>
  <c r="AC69" i="104" s="1"/>
  <c r="AF69" i="104" s="1"/>
  <c r="AB48" i="104"/>
  <c r="AC48" i="104" s="1"/>
  <c r="AF48" i="104" s="1"/>
  <c r="AB40" i="104"/>
  <c r="AC40" i="104" s="1"/>
  <c r="AF40" i="104" s="1"/>
  <c r="AB99" i="104"/>
  <c r="AC99" i="104" s="1"/>
  <c r="AF99" i="104" s="1"/>
  <c r="AB38" i="104"/>
  <c r="AC38" i="104" s="1"/>
  <c r="AF38" i="104" s="1"/>
  <c r="AB68" i="104"/>
  <c r="AC68" i="104" s="1"/>
  <c r="AF68" i="104" s="1"/>
  <c r="AB32" i="104"/>
  <c r="AC32" i="104" s="1"/>
  <c r="AF32" i="104" s="1"/>
  <c r="AB62" i="104"/>
  <c r="AC62" i="104" s="1"/>
  <c r="AF62" i="104" s="1"/>
  <c r="AB60" i="104"/>
  <c r="AC60" i="104" s="1"/>
  <c r="AF60" i="104" s="1"/>
  <c r="AB54" i="104"/>
  <c r="AC54" i="104" s="1"/>
  <c r="AF54" i="104" s="1"/>
  <c r="AB20" i="104"/>
  <c r="AC20" i="104" s="1"/>
  <c r="AF20" i="104" s="1"/>
  <c r="AB73" i="104"/>
  <c r="AC73" i="104" s="1"/>
  <c r="AF73" i="104" s="1"/>
  <c r="N104" i="104"/>
  <c r="AC104" i="104" l="1"/>
  <c r="AB104" i="104"/>
  <c r="W104" i="104"/>
  <c r="AF104" i="104" l="1"/>
</calcChain>
</file>

<file path=xl/sharedStrings.xml><?xml version="1.0" encoding="utf-8"?>
<sst xmlns="http://schemas.openxmlformats.org/spreadsheetml/2006/main" count="1478" uniqueCount="719">
  <si>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</si>
  <si>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</si>
  <si>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</si>
  <si>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</si>
  <si>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</si>
  <si>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</si>
  <si>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</si>
  <si>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</si>
  <si>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</si>
  <si>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</si>
  <si>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</si>
  <si>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</si>
  <si>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</si>
  <si>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</si>
  <si>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</si>
  <si>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</si>
  <si>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</si>
  <si>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</si>
  <si>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</si>
  <si>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</si>
  <si>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</si>
  <si>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</si>
  <si>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</si>
  <si>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</si>
  <si>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</si>
  <si>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</si>
  <si>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</si>
  <si>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</si>
  <si>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</si>
  <si>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</si>
  <si>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</si>
  <si>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</si>
  <si>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</si>
  <si>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</si>
  <si>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</si>
  <si>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</si>
  <si>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</si>
  <si>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</si>
  <si>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</si>
  <si>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</si>
  <si>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</si>
  <si>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</si>
  <si>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</si>
  <si>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</si>
  <si>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</si>
  <si>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</si>
  <si>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</si>
  <si>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</si>
  <si>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</si>
  <si>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</si>
  <si>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</si>
  <si>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</si>
  <si>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</si>
  <si>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</si>
  <si>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</si>
  <si>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</si>
  <si>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</si>
  <si>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</si>
  <si>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</si>
  <si>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</si>
  <si>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</si>
  <si>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</si>
  <si>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</si>
  <si>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</si>
  <si>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</si>
  <si>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</si>
  <si>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</si>
  <si>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</si>
  <si>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</si>
  <si>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</si>
  <si>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</si>
  <si>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</si>
  <si>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</si>
  <si>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</si>
  <si>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</si>
  <si>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</si>
  <si>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</si>
  <si>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</si>
  <si>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</si>
  <si>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</si>
  <si>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</si>
  <si>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</si>
  <si>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</si>
  <si>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</si>
  <si>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</si>
  <si>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</si>
  <si>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</si>
  <si>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</si>
  <si>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</si>
  <si>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</si>
  <si>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</si>
  <si>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</si>
  <si>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</si>
  <si>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</si>
  <si>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</si>
  <si>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</si>
  <si>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</si>
  <si>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</si>
  <si>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</si>
  <si>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</si>
  <si>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</si>
  <si>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</si>
  <si>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</si>
  <si>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</si>
  <si>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</si>
  <si>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</si>
  <si>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</si>
  <si>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</si>
  <si>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</si>
  <si>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</si>
  <si>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</si>
  <si>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</si>
  <si>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</si>
  <si>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</si>
  <si>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</si>
  <si>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</si>
  <si>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</si>
  <si>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</si>
  <si>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</si>
  <si>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</si>
  <si>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</si>
  <si>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</si>
  <si>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</si>
  <si>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</si>
  <si>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</si>
  <si>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</si>
  <si>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</si>
  <si>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</si>
  <si>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</si>
  <si>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</si>
  <si>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</si>
  <si>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</si>
  <si>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</si>
  <si>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</si>
  <si>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</si>
  <si>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</si>
  <si>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</si>
  <si>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</si>
  <si>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</si>
  <si>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</si>
  <si>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</si>
  <si>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</si>
  <si>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</si>
  <si>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</si>
  <si>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</si>
  <si>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</si>
  <si>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</si>
  <si>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</si>
  <si>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</si>
  <si>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</si>
  <si>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</si>
  <si>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</si>
  <si>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</si>
  <si>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</si>
  <si>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</si>
  <si>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</si>
  <si>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</si>
  <si>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</si>
  <si>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</si>
  <si>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</si>
  <si>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</si>
  <si>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</si>
  <si>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</si>
  <si>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</si>
  <si>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</si>
  <si>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</si>
  <si>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</si>
  <si>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</si>
  <si>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</si>
  <si>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</si>
  <si>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</si>
  <si>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</si>
  <si>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</si>
  <si>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</si>
  <si>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</si>
  <si>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</si>
  <si>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</si>
  <si>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</si>
  <si>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</si>
  <si>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</si>
  <si>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</si>
  <si>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</si>
  <si>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</si>
  <si>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</si>
  <si>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</si>
  <si>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</si>
  <si>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</si>
  <si>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</si>
  <si>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</si>
  <si>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</si>
  <si>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</si>
  <si>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</si>
  <si>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</si>
  <si>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</si>
  <si>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</si>
  <si>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</si>
  <si>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</si>
  <si>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</si>
  <si>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</si>
  <si>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</si>
  <si>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</si>
  <si>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</si>
  <si>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</si>
  <si>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</si>
  <si>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</si>
  <si>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</si>
  <si>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</si>
  <si>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</si>
  <si>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</si>
  <si>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</si>
  <si>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</si>
  <si>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</si>
  <si>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</si>
  <si>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</si>
  <si>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</si>
  <si>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</si>
  <si>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</si>
  <si>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</si>
  <si>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</si>
  <si>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</si>
  <si>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</si>
  <si>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</si>
  <si>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</si>
  <si>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</si>
  <si>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</si>
  <si>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</si>
  <si>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</si>
  <si>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</si>
  <si>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</si>
  <si>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</si>
  <si>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</si>
  <si>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</si>
  <si>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</si>
  <si>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</si>
  <si>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</si>
  <si>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</si>
  <si>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</si>
  <si>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</si>
  <si>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</si>
  <si>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</si>
  <si>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</si>
  <si>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</si>
  <si>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</si>
  <si>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</si>
  <si>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</si>
  <si>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</si>
  <si>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</si>
  <si>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</si>
  <si>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</si>
  <si>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</si>
  <si>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</si>
  <si>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</si>
  <si>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</si>
  <si>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</si>
  <si>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</si>
  <si>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</si>
  <si>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</si>
  <si>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</si>
  <si>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</si>
  <si>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</si>
  <si>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</si>
  <si>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</si>
  <si>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</si>
  <si>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</si>
  <si>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</si>
  <si>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</si>
  <si>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</si>
  <si>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</si>
  <si>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</si>
  <si>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</si>
  <si>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</si>
  <si>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</si>
  <si>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</si>
  <si>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</si>
  <si>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</si>
  <si>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</si>
  <si>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</si>
  <si>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</si>
  <si>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</si>
  <si>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</si>
  <si>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</si>
  <si>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</si>
  <si>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</si>
  <si>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</si>
  <si>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</si>
  <si>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</si>
  <si>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</si>
  <si>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</si>
  <si>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</si>
  <si>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</si>
  <si>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</si>
  <si>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</si>
  <si>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</si>
  <si>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</si>
  <si>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</si>
  <si>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</si>
  <si>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</si>
  <si>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</si>
  <si>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</si>
  <si>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</si>
  <si>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</si>
  <si>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</si>
  <si>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</si>
  <si>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</si>
  <si>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</si>
  <si>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</si>
  <si>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</si>
  <si>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</si>
  <si>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</si>
  <si>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</si>
  <si>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</si>
  <si>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</si>
  <si>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</si>
  <si>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</si>
  <si>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</si>
  <si>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</si>
  <si>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</si>
  <si>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</si>
  <si>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</si>
  <si>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</si>
  <si>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</si>
  <si>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</si>
  <si>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</si>
  <si>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</si>
  <si>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</si>
  <si>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</si>
  <si>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</si>
  <si>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</si>
  <si>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</si>
  <si>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</si>
  <si>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</si>
  <si>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</si>
  <si>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</si>
  <si>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</si>
  <si>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</si>
  <si>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</si>
  <si>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</si>
  <si>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</si>
  <si>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</si>
  <si>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</si>
  <si>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</si>
  <si>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</si>
  <si>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</si>
  <si>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</si>
  <si>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</si>
  <si>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</si>
  <si>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</si>
  <si>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</si>
  <si>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</si>
  <si>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</si>
  <si>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</si>
  <si>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</si>
  <si>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</si>
  <si>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</si>
  <si>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</si>
  <si>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</si>
  <si>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</si>
  <si>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</si>
  <si>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</si>
  <si>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</si>
  <si>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</si>
  <si>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</si>
  <si>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</si>
  <si>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</si>
  <si>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</si>
  <si>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</si>
  <si>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</si>
  <si>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FFY2020
(Actual)</t>
  </si>
  <si>
    <t>FFY2020 Bridge Repl. &amp; Rehab 
(Actual)</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</si>
  <si>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</si>
  <si>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</si>
  <si>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</si>
  <si>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</si>
  <si>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</si>
  <si>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</si>
  <si>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</si>
  <si>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</si>
  <si>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</si>
  <si>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</si>
  <si>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</si>
  <si>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</si>
  <si>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</si>
  <si>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</si>
  <si>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</si>
  <si>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</si>
  <si>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</si>
  <si>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</si>
  <si>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</si>
  <si>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</si>
  <si>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</si>
  <si>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</si>
  <si>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</si>
  <si>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</si>
  <si>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</si>
  <si>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</si>
  <si>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</si>
  <si>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</si>
  <si>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</si>
  <si>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</si>
  <si>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</si>
  <si>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</si>
  <si>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</si>
  <si>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</si>
  <si>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</si>
  <si>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</si>
  <si>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</si>
  <si>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</si>
  <si>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</si>
  <si>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</si>
  <si>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</si>
  <si>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</si>
  <si>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</si>
  <si>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</si>
  <si>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</si>
  <si>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</si>
  <si>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</si>
  <si>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</si>
  <si>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FFY2021 Bridge Repl. &amp; Rehab 
(Actual)</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</si>
  <si>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</si>
  <si>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</si>
  <si>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</si>
  <si>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</si>
  <si>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</si>
  <si>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</si>
  <si>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</si>
  <si>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</si>
  <si>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</si>
  <si>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</si>
  <si>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</si>
  <si>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</si>
  <si>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</si>
  <si>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</si>
  <si>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</si>
  <si>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</si>
  <si>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</si>
  <si>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</si>
  <si>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</si>
  <si>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</si>
  <si>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</si>
  <si>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</si>
  <si>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</si>
  <si>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</si>
  <si>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</si>
  <si>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</si>
  <si>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</si>
  <si>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</si>
  <si>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</si>
  <si>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</si>
  <si>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</si>
  <si>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</si>
  <si>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</si>
  <si>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</si>
  <si>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</si>
  <si>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</si>
  <si>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</si>
  <si>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</si>
  <si>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</si>
  <si>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</si>
  <si>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</si>
  <si>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</si>
  <si>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</si>
  <si>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</si>
  <si>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</si>
  <si>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</si>
  <si>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</si>
  <si>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</si>
  <si>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</si>
  <si>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</si>
  <si>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</si>
  <si>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</si>
  <si>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</si>
  <si>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</si>
  <si>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</si>
  <si>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</si>
  <si>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</si>
  <si>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</si>
  <si>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</si>
  <si>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</si>
  <si>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FFY2021
(Actual)</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</si>
  <si>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</si>
  <si>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</si>
  <si>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</si>
  <si>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</si>
  <si>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</si>
  <si>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</si>
  <si>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</si>
  <si>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</si>
  <si>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</si>
  <si>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</si>
  <si>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</si>
  <si>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</si>
  <si>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</si>
  <si>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</si>
  <si>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</si>
  <si>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</si>
  <si>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</si>
  <si>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</si>
  <si>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Funded w/ County local and SwapM</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</si>
  <si>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</si>
  <si>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</si>
  <si>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</si>
  <si>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</si>
  <si>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</si>
  <si>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</si>
  <si>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</si>
  <si>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</si>
  <si>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</si>
  <si>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</si>
  <si>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</si>
  <si>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</si>
  <si>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</si>
  <si>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</si>
  <si>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</si>
  <si>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</si>
  <si>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</si>
  <si>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</si>
  <si>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</si>
  <si>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</si>
  <si>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</si>
  <si>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</si>
  <si>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</si>
  <si>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</si>
  <si>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</si>
  <si>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</si>
  <si>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</si>
  <si>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</si>
  <si>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</si>
  <si>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</si>
  <si>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</si>
  <si>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</si>
  <si>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</si>
  <si>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</si>
  <si>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</si>
  <si>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</si>
  <si>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</si>
  <si>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</si>
  <si>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</si>
  <si>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</si>
  <si>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</si>
  <si>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</si>
  <si>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</si>
  <si>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</si>
  <si>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</si>
  <si>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</si>
  <si>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</si>
  <si>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</si>
  <si>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</si>
  <si>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</si>
  <si>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</si>
  <si>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</si>
  <si>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</si>
  <si>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</si>
  <si>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</si>
  <si>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</si>
  <si>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</si>
  <si>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</si>
  <si>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</si>
  <si>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</si>
  <si>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</si>
  <si>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</si>
  <si>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</si>
  <si>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</si>
  <si>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</si>
  <si>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</si>
  <si>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</si>
  <si>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</si>
  <si>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</si>
  <si>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</si>
  <si>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</si>
  <si>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</si>
  <si>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</si>
  <si>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</si>
  <si>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</si>
  <si>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</si>
  <si>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</si>
  <si>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</si>
  <si>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</si>
  <si>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</si>
  <si>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</si>
  <si>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</si>
  <si>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</si>
  <si>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</si>
  <si>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</si>
  <si>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</si>
  <si>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</si>
  <si>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</si>
  <si>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</si>
  <si>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</si>
  <si>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</si>
  <si>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</si>
  <si>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</si>
  <si>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</si>
  <si>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</si>
  <si>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</si>
  <si>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</si>
  <si>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</si>
  <si>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</si>
  <si>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</si>
  <si>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</si>
  <si>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</si>
  <si>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</si>
  <si>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</si>
  <si>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</si>
  <si>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</si>
  <si>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Highway Bridge Program (HBP) Funding - FFY 2023</t>
  </si>
  <si>
    <t>FFY 2023 Allocation Factor (25% SD/FO,      75% Poor)</t>
  </si>
  <si>
    <t>FFY2023
(Estimated)</t>
  </si>
  <si>
    <t>FFY2022
(Actual)</t>
  </si>
  <si>
    <t>Highway Bridge Program (HBP) - FFY 2023</t>
  </si>
  <si>
    <t>Actual
FFY2022
Ending Balance</t>
  </si>
  <si>
    <t>Estimated FFY2023 Beginning Balance</t>
  </si>
  <si>
    <t>Let Amounts November 2022 - October 2023</t>
  </si>
  <si>
    <t>November 2023</t>
  </si>
  <si>
    <t>December 2023</t>
  </si>
  <si>
    <t>Amount to be reallocated at end of FFY 2023 (if not spent by then)</t>
  </si>
  <si>
    <t>FFY2023
After Reallocations (FINAL)</t>
  </si>
  <si>
    <t>FY2023 Allocation to Counties Not Losing Money</t>
  </si>
  <si>
    <t>copy to corresponding year column in next year's worksheet</t>
  </si>
  <si>
    <t>copy to actual ending blance column in next year's sheet</t>
  </si>
  <si>
    <t>Actual
FFY2023
Ending
Balance After Reallocations</t>
  </si>
  <si>
    <t>Estimated FFY2023
Ending
Balance Before Reallocations</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</si>
  <si>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</si>
  <si>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</si>
  <si>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</si>
  <si>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</si>
  <si>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</si>
  <si>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</si>
  <si>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</si>
  <si>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</si>
  <si>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</si>
  <si>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</si>
  <si>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</si>
  <si>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</si>
  <si>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</si>
  <si>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</si>
  <si>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</si>
  <si>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</si>
  <si>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</si>
  <si>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</si>
  <si>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</si>
  <si>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</si>
  <si>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</si>
  <si>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</si>
  <si>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</si>
  <si>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</si>
  <si>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</si>
  <si>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</si>
  <si>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</si>
  <si>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</si>
  <si>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</si>
  <si>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</si>
  <si>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</si>
  <si>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</si>
  <si>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</si>
  <si>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</si>
  <si>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</si>
  <si>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</si>
  <si>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</si>
  <si>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4 Year Total               (W/ 2020-2023 Bridge Repl. &amp; Rehab)</t>
  </si>
  <si>
    <t>Years Fund Accum       (Including Bridge Repl. &amp; Rehab in annual average allocation)</t>
  </si>
  <si>
    <t>4 Year Average        (W/ 2020-2023 Bridge Repl. &amp; Rehab)</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</si>
  <si>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</si>
  <si>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</si>
  <si>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</si>
  <si>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</si>
  <si>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</si>
  <si>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</si>
  <si>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</si>
  <si>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</si>
  <si>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</si>
  <si>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</si>
  <si>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</si>
  <si>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</si>
  <si>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</si>
  <si>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</si>
  <si>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</si>
  <si>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</si>
  <si>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</si>
  <si>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</si>
  <si>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</si>
  <si>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</si>
  <si>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</si>
  <si>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</si>
  <si>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r>
      <t xml:space="preserve">&lt; $67,423,744 approved by Commission + $11,223,466 STBG off-system bridge + 1/2 of </t>
    </r>
    <r>
      <rPr>
        <sz val="10"/>
        <color rgb="FF00B0F0"/>
        <rFont val="Arial"/>
        <family val="2"/>
      </rPr>
      <t>$7,172,538 Obligation Limited Sec. 152 Redistribution</t>
    </r>
  </si>
  <si>
    <t>FFY'23 Sec 152 redistribution from Shawn Majors in 10/16/23 email</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</si>
  <si>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</si>
  <si>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</si>
  <si>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</si>
  <si>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</si>
  <si>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</si>
  <si>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</si>
  <si>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</si>
  <si>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</si>
  <si>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</si>
  <si>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</si>
  <si>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</si>
  <si>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</si>
  <si>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</si>
  <si>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</si>
  <si>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</si>
  <si>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</si>
  <si>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Split w/ Pocahontas County ($41,530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</si>
  <si>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</si>
  <si>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</si>
  <si>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</si>
  <si>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</si>
  <si>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</si>
  <si>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</si>
  <si>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</si>
  <si>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</si>
  <si>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</si>
  <si>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</si>
  <si>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CBCF - $345,858.71</t>
  </si>
  <si>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</si>
  <si>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</si>
  <si>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</si>
  <si>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PE &amp; ROW</t>
  </si>
  <si>
    <t xml:space="preserve">Total Difference Between Contract and Final HBP (Adjustment for Final Costs) </t>
  </si>
  <si>
    <t>$0 share to HBP fund because County-State Bridge covered balance remaining after CHBP.  Final project cost = $154,620.29 (CHBP = $71,006.00, CBCF = $83,614.29, HBP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</si>
</sst>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s>
  <fonts count="38">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b/>
      <sz val="8"/>
      <color rgb="FF00B0F0"/>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10"/>
      <color rgb="FF00B0F0"/>
      <name val="Arial"/>
      <family val="2"/>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ont>
    <font>
      <sz val="8"/>
      <color theme="8" tint="-0.249977111117893"/>
      <name val="Arial"/>
      <family val="2"/>
    </font>
    <font>
      <sz val="11"/>
      <color theme="8"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118">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top/>
      <bottom/>
      <diagonal/>
    </border>
    <border>
      <left style="thin">
        <color theme="1"/>
      </left>
      <right style="thin">
        <color theme="1"/>
      </right>
      <top style="medium">
        <color indexed="64"/>
      </top>
      <bottom/>
      <diagonal/>
    </border>
  </borders>
  <cellStyleXfs count="7">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5" fillId="0" borderId="0"/>
    <xf numFmtId="0" fontId="11" fillId="0" borderId="0"/>
    <xf numFmtId="9" fontId="11" fillId="0" borderId="0" applyFont="0" applyFill="0" applyBorder="0" applyAlignment="0" applyProtection="0"/>
  </cellStyleXfs>
  <cellXfs count="545">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4" xfId="0" applyFont="1" applyBorder="1" applyAlignment="1">
      <alignment horizontal="center" wrapText="1"/>
    </xf>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8" fillId="0" borderId="23" xfId="0" applyFont="1" applyBorder="1" applyAlignment="1">
      <alignment horizontal="left" wrapText="1"/>
    </xf>
    <xf numFmtId="0" fontId="8" fillId="0" borderId="23" xfId="0" applyFont="1" applyBorder="1" applyAlignment="1">
      <alignment horizontal="center" wrapText="1"/>
    </xf>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44" fontId="2" fillId="4" borderId="49" xfId="1" applyFont="1" applyFill="1" applyBorder="1"/>
    <xf numFmtId="44" fontId="2" fillId="4" borderId="50" xfId="1"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44" fontId="16" fillId="0" borderId="61" xfId="1" applyFont="1" applyBorder="1"/>
    <xf numFmtId="44" fontId="16" fillId="0" borderId="62" xfId="1" applyFont="1" applyBorder="1"/>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44" fontId="2" fillId="0" borderId="82" xfId="1" applyFont="1" applyBorder="1"/>
    <xf numFmtId="166" fontId="2" fillId="0" borderId="67" xfId="1" applyNumberFormat="1" applyFont="1" applyBorder="1"/>
    <xf numFmtId="166" fontId="2" fillId="0" borderId="73" xfId="1" applyNumberFormat="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44" fontId="2" fillId="5" borderId="61"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100" xfId="1" applyNumberFormat="1" applyFont="1" applyBorder="1"/>
    <xf numFmtId="166" fontId="2" fillId="0" borderId="78" xfId="1" applyNumberFormat="1" applyFont="1" applyBorder="1"/>
    <xf numFmtId="166" fontId="2" fillId="0" borderId="101" xfId="1" applyNumberFormat="1" applyFont="1" applyBorder="1"/>
    <xf numFmtId="166" fontId="21" fillId="0" borderId="0" xfId="0" applyNumberFormat="1" applyFont="1"/>
    <xf numFmtId="166" fontId="2" fillId="0" borderId="24" xfId="0" applyNumberFormat="1" applyFont="1" applyBorder="1" applyAlignment="1">
      <alignment horizontal="right" vertical="center"/>
    </xf>
    <xf numFmtId="166" fontId="22" fillId="0" borderId="0" xfId="0" applyNumberFormat="1" applyFont="1"/>
    <xf numFmtId="14" fontId="22" fillId="0" borderId="0" xfId="0" applyNumberFormat="1" applyFont="1" applyAlignment="1">
      <alignment horizontal="left"/>
    </xf>
    <xf numFmtId="166" fontId="22" fillId="0" borderId="21" xfId="0" applyNumberFormat="1" applyFont="1" applyBorder="1"/>
    <xf numFmtId="166" fontId="2" fillId="0" borderId="0" xfId="0" applyNumberFormat="1" applyFont="1"/>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4"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7" xfId="0" applyNumberFormat="1" applyFont="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166" fontId="2" fillId="0" borderId="5" xfId="0" applyNumberFormat="1" applyFont="1" applyBorder="1" applyAlignment="1">
      <alignment horizontal="right" vertical="center"/>
    </xf>
    <xf numFmtId="8" fontId="22" fillId="0" borderId="9" xfId="0" applyNumberFormat="1" applyFont="1" applyBorder="1"/>
    <xf numFmtId="0" fontId="22" fillId="0" borderId="0" xfId="0" applyFont="1" applyAlignment="1">
      <alignment horizontal="left"/>
    </xf>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0" fontId="2" fillId="0" borderId="102" xfId="0" applyFont="1" applyFill="1" applyBorder="1" applyAlignment="1">
      <alignment horizontal="right"/>
    </xf>
    <xf numFmtId="0" fontId="2" fillId="0" borderId="103" xfId="0" applyFont="1" applyFill="1" applyBorder="1" applyAlignment="1">
      <alignment horizontal="right"/>
    </xf>
    <xf numFmtId="167" fontId="2" fillId="0" borderId="104" xfId="0" applyNumberFormat="1" applyFont="1" applyFill="1" applyBorder="1" applyAlignment="1">
      <alignment horizontal="right" vertical="center"/>
    </xf>
    <xf numFmtId="0" fontId="11" fillId="0" borderId="0" xfId="0" applyFont="1" applyAlignment="1">
      <alignment horizontal="center"/>
    </xf>
    <xf numFmtId="8" fontId="22" fillId="0" borderId="20" xfId="0" applyNumberFormat="1" applyFont="1" applyBorder="1" applyAlignment="1">
      <alignment horizontal="right" vertical="center"/>
    </xf>
    <xf numFmtId="8" fontId="22" fillId="0" borderId="23" xfId="0" applyNumberFormat="1" applyFont="1" applyFill="1" applyBorder="1" applyAlignment="1">
      <alignment horizontal="right" vertical="center"/>
    </xf>
    <xf numFmtId="8" fontId="22" fillId="0" borderId="21" xfId="0" applyNumberFormat="1" applyFont="1" applyBorder="1" applyAlignment="1">
      <alignment horizontal="right" vertical="center"/>
    </xf>
    <xf numFmtId="8" fontId="22" fillId="0" borderId="14" xfId="0" applyNumberFormat="1" applyFont="1" applyBorder="1" applyAlignment="1">
      <alignment horizontal="right" vertical="center"/>
    </xf>
    <xf numFmtId="166" fontId="22" fillId="0" borderId="0" xfId="0" applyNumberFormat="1" applyFont="1" applyFill="1" applyAlignment="1">
      <alignment horizontal="left"/>
    </xf>
    <xf numFmtId="166" fontId="22"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2"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4" fillId="0" borderId="0" xfId="0" applyFont="1"/>
    <xf numFmtId="166" fontId="24"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5" fillId="0" borderId="0" xfId="0" applyFont="1" applyFill="1"/>
    <xf numFmtId="14" fontId="2" fillId="0" borderId="46" xfId="0" applyNumberFormat="1" applyFont="1" applyBorder="1" applyAlignment="1">
      <alignment horizontal="center"/>
    </xf>
    <xf numFmtId="0" fontId="2" fillId="0" borderId="88" xfId="2" applyFont="1" applyFill="1" applyBorder="1"/>
    <xf numFmtId="44" fontId="2" fillId="0" borderId="88" xfId="1" applyFont="1" applyBorder="1"/>
    <xf numFmtId="0" fontId="26"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44" fontId="2" fillId="4" borderId="62" xfId="1" applyFont="1" applyFill="1" applyBorder="1"/>
    <xf numFmtId="44" fontId="2" fillId="0" borderId="67" xfId="1" quotePrefix="1" applyFont="1" applyBorder="1"/>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3" fillId="0" borderId="0" xfId="0" applyFont="1" applyFill="1" applyAlignment="1">
      <alignment horizontal="center"/>
    </xf>
    <xf numFmtId="0" fontId="0" fillId="0" borderId="0" xfId="0" applyFill="1"/>
    <xf numFmtId="0" fontId="14" fillId="0" borderId="0" xfId="0" applyFont="1" applyFill="1" applyAlignment="1">
      <alignment vertical="top" wrapText="1"/>
    </xf>
    <xf numFmtId="44" fontId="2" fillId="0" borderId="105" xfId="1" applyFont="1" applyBorder="1"/>
    <xf numFmtId="166" fontId="27"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6" xfId="0" applyNumberFormat="1" applyBorder="1"/>
    <xf numFmtId="0" fontId="0" fillId="0" borderId="3" xfId="0" applyBorder="1"/>
    <xf numFmtId="166" fontId="0" fillId="0" borderId="107" xfId="0" applyNumberFormat="1" applyBorder="1"/>
    <xf numFmtId="0" fontId="0" fillId="0" borderId="108" xfId="0" applyBorder="1"/>
    <xf numFmtId="6" fontId="14" fillId="0" borderId="0" xfId="0" applyNumberFormat="1" applyFont="1" applyAlignment="1">
      <alignment horizontal="left"/>
    </xf>
    <xf numFmtId="0" fontId="0" fillId="0" borderId="0" xfId="0" applyBorder="1" applyAlignment="1">
      <alignment horizontal="left"/>
    </xf>
    <xf numFmtId="8" fontId="22" fillId="0" borderId="17" xfId="0" applyNumberFormat="1" applyFont="1" applyFill="1" applyBorder="1"/>
    <xf numFmtId="8" fontId="22" fillId="0" borderId="8" xfId="0" applyNumberFormat="1" applyFont="1" applyBorder="1"/>
    <xf numFmtId="8" fontId="22"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166" fontId="2" fillId="0" borderId="1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2"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2" fillId="0" borderId="0" xfId="0" applyNumberFormat="1" applyFont="1" applyFill="1"/>
    <xf numFmtId="0" fontId="22"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2" fillId="0" borderId="0" xfId="0" applyNumberFormat="1" applyFont="1" applyFill="1" applyAlignment="1">
      <alignment vertical="top"/>
    </xf>
    <xf numFmtId="44" fontId="29" fillId="0" borderId="0" xfId="1" applyFont="1"/>
    <xf numFmtId="8" fontId="8" fillId="0" borderId="0" xfId="0" applyNumberFormat="1" applyFont="1"/>
    <xf numFmtId="166" fontId="31" fillId="0" borderId="15" xfId="0" applyNumberFormat="1" applyFont="1" applyFill="1" applyBorder="1" applyAlignment="1">
      <alignment horizontal="right" vertical="center"/>
    </xf>
    <xf numFmtId="166" fontId="31" fillId="0" borderId="4" xfId="0" applyNumberFormat="1" applyFont="1" applyFill="1" applyBorder="1" applyAlignment="1">
      <alignment horizontal="right" vertical="center"/>
    </xf>
    <xf numFmtId="166" fontId="31" fillId="0" borderId="13" xfId="0" applyNumberFormat="1" applyFont="1" applyFill="1" applyBorder="1" applyAlignment="1">
      <alignment horizontal="right" vertical="center"/>
    </xf>
    <xf numFmtId="14" fontId="32" fillId="0" borderId="66" xfId="0" applyNumberFormat="1" applyFont="1" applyBorder="1" applyAlignment="1">
      <alignment horizontal="center"/>
    </xf>
    <xf numFmtId="0" fontId="32" fillId="0" borderId="67" xfId="2" applyFont="1" applyFill="1" applyBorder="1"/>
    <xf numFmtId="44" fontId="32" fillId="0" borderId="67" xfId="1" applyFont="1" applyBorder="1"/>
    <xf numFmtId="44" fontId="32" fillId="0" borderId="62" xfId="1" applyFont="1" applyBorder="1"/>
    <xf numFmtId="0" fontId="33" fillId="0" borderId="0" xfId="0" applyFont="1"/>
    <xf numFmtId="0" fontId="0" fillId="3" borderId="0" xfId="0" applyFill="1"/>
    <xf numFmtId="6" fontId="11" fillId="0" borderId="0" xfId="0" applyNumberFormat="1" applyFont="1" applyFill="1" applyAlignment="1">
      <alignment horizontal="left"/>
    </xf>
    <xf numFmtId="8" fontId="34" fillId="6" borderId="0" xfId="0" applyNumberFormat="1" applyFont="1" applyFill="1" applyAlignment="1">
      <alignment horizontal="left"/>
    </xf>
    <xf numFmtId="2" fontId="20" fillId="0" borderId="0" xfId="0" applyNumberFormat="1" applyFont="1" applyAlignment="1">
      <alignment horizontal="left"/>
    </xf>
    <xf numFmtId="166" fontId="11" fillId="0" borderId="0" xfId="0" applyNumberFormat="1" applyFont="1" applyFill="1" applyAlignment="1">
      <alignment horizontal="center"/>
    </xf>
    <xf numFmtId="166" fontId="20" fillId="0" borderId="0" xfId="0" applyNumberFormat="1" applyFont="1" applyAlignment="1">
      <alignment horizontal="left"/>
    </xf>
    <xf numFmtId="166" fontId="23" fillId="0" borderId="0" xfId="0" applyNumberFormat="1" applyFont="1" applyFill="1" applyAlignment="1">
      <alignment horizontal="center"/>
    </xf>
    <xf numFmtId="166" fontId="2" fillId="0" borderId="15" xfId="0" applyNumberFormat="1" applyFont="1" applyFill="1" applyBorder="1" applyAlignment="1">
      <alignment horizontal="right" vertical="center"/>
    </xf>
    <xf numFmtId="6" fontId="22" fillId="0" borderId="21" xfId="0" applyNumberFormat="1" applyFont="1" applyFill="1" applyBorder="1" applyAlignment="1">
      <alignment horizontal="right" vertical="center"/>
    </xf>
    <xf numFmtId="8" fontId="22" fillId="0" borderId="21" xfId="0" applyNumberFormat="1" applyFont="1" applyFill="1" applyBorder="1" applyAlignment="1">
      <alignment horizontal="right" vertical="center"/>
    </xf>
    <xf numFmtId="8" fontId="2" fillId="0" borderId="0" xfId="0" applyNumberFormat="1" applyFont="1"/>
    <xf numFmtId="0" fontId="11" fillId="0" borderId="0" xfId="0" applyFont="1" applyFill="1" applyAlignment="1">
      <alignment horizontal="center"/>
    </xf>
    <xf numFmtId="0" fontId="22" fillId="0" borderId="0" xfId="0" applyFont="1" applyFill="1" applyAlignment="1">
      <alignment horizontal="left"/>
    </xf>
    <xf numFmtId="0" fontId="30" fillId="0" borderId="0" xfId="0" applyFont="1" applyFill="1" applyAlignment="1">
      <alignment horizontal="left"/>
    </xf>
    <xf numFmtId="0" fontId="22" fillId="0" borderId="0" xfId="0" applyFont="1" applyFill="1" applyBorder="1" applyAlignment="1">
      <alignment horizontal="left"/>
    </xf>
    <xf numFmtId="49" fontId="31" fillId="0" borderId="11" xfId="0" applyNumberFormat="1" applyFont="1" applyFill="1" applyBorder="1" applyAlignment="1">
      <alignment horizontal="center" vertical="center" wrapText="1"/>
    </xf>
    <xf numFmtId="49" fontId="31" fillId="0" borderId="7" xfId="0" applyNumberFormat="1" applyFont="1" applyFill="1" applyBorder="1" applyAlignment="1">
      <alignment horizontal="center" vertical="center" wrapText="1"/>
    </xf>
    <xf numFmtId="49" fontId="31" fillId="0" borderId="24" xfId="0" applyNumberFormat="1"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2" fillId="0" borderId="5" xfId="0" applyNumberFormat="1" applyFont="1" applyFill="1" applyBorder="1" applyAlignment="1">
      <alignment horizontal="right" vertical="center"/>
    </xf>
    <xf numFmtId="8" fontId="22" fillId="0" borderId="24"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31" fillId="0" borderId="11" xfId="0" applyNumberFormat="1" applyFont="1" applyFill="1" applyBorder="1" applyAlignment="1">
      <alignment horizontal="right" vertical="center"/>
    </xf>
    <xf numFmtId="166" fontId="31" fillId="0" borderId="7" xfId="0" applyNumberFormat="1" applyFont="1" applyFill="1" applyBorder="1" applyAlignment="1">
      <alignment horizontal="right" vertical="center"/>
    </xf>
    <xf numFmtId="166" fontId="31"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2"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31" fillId="0" borderId="2"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8" fontId="22" fillId="0" borderId="17" xfId="0" applyNumberFormat="1" applyFont="1" applyFill="1" applyBorder="1" applyAlignment="1">
      <alignment horizontal="right" vertical="center"/>
    </xf>
    <xf numFmtId="8" fontId="22" fillId="0" borderId="29" xfId="0" applyNumberFormat="1" applyFont="1" applyFill="1" applyBorder="1" applyAlignment="1">
      <alignment horizontal="right" vertical="center"/>
    </xf>
    <xf numFmtId="8" fontId="22" fillId="0" borderId="42" xfId="0" applyNumberFormat="1" applyFont="1" applyFill="1" applyBorder="1" applyAlignment="1">
      <alignment horizontal="right" vertical="center"/>
    </xf>
    <xf numFmtId="8" fontId="22" fillId="0" borderId="115" xfId="0" applyNumberFormat="1" applyFont="1" applyFill="1" applyBorder="1" applyAlignment="1">
      <alignment horizontal="right" vertical="center"/>
    </xf>
    <xf numFmtId="8" fontId="30" fillId="0" borderId="26" xfId="0" applyNumberFormat="1" applyFont="1" applyFill="1" applyBorder="1" applyAlignment="1">
      <alignment horizontal="right" vertical="center"/>
    </xf>
    <xf numFmtId="8" fontId="30" fillId="0" borderId="21" xfId="0" applyNumberFormat="1" applyFont="1" applyFill="1" applyBorder="1" applyAlignment="1">
      <alignment horizontal="right" vertical="center"/>
    </xf>
    <xf numFmtId="8" fontId="30" fillId="0" borderId="14" xfId="0" applyNumberFormat="1" applyFont="1" applyFill="1" applyBorder="1" applyAlignment="1">
      <alignment horizontal="right" vertical="center"/>
    </xf>
    <xf numFmtId="8" fontId="22" fillId="0" borderId="26" xfId="0" applyNumberFormat="1" applyFont="1" applyFill="1" applyBorder="1" applyAlignment="1">
      <alignment horizontal="right" vertical="center"/>
    </xf>
    <xf numFmtId="166" fontId="22" fillId="0" borderId="14" xfId="0" applyNumberFormat="1" applyFont="1" applyFill="1" applyBorder="1" applyAlignment="1">
      <alignment horizontal="right" vertical="center"/>
    </xf>
    <xf numFmtId="8" fontId="22"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2"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2" fillId="0" borderId="0" xfId="0" applyNumberFormat="1" applyFont="1" applyFill="1" applyAlignment="1">
      <alignment horizontal="center"/>
    </xf>
    <xf numFmtId="0" fontId="31"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166" fontId="22" fillId="9" borderId="116" xfId="0" applyNumberFormat="1" applyFont="1" applyFill="1" applyBorder="1" applyAlignment="1">
      <alignment horizontal="right" vertical="center"/>
    </xf>
    <xf numFmtId="166" fontId="22" fillId="9" borderId="13" xfId="0" applyNumberFormat="1" applyFont="1" applyFill="1" applyBorder="1" applyAlignment="1">
      <alignment horizontal="right" vertical="center"/>
    </xf>
    <xf numFmtId="166" fontId="22" fillId="9" borderId="19" xfId="0" applyNumberFormat="1" applyFont="1" applyFill="1" applyBorder="1" applyAlignment="1">
      <alignment horizontal="right" vertical="center"/>
    </xf>
    <xf numFmtId="166" fontId="22" fillId="9" borderId="12" xfId="0" applyNumberFormat="1" applyFont="1" applyFill="1" applyBorder="1" applyAlignment="1">
      <alignment horizontal="right" vertical="center"/>
    </xf>
    <xf numFmtId="8" fontId="22" fillId="9" borderId="26" xfId="0" applyNumberFormat="1" applyFont="1" applyFill="1" applyBorder="1"/>
    <xf numFmtId="8" fontId="22" fillId="9" borderId="87" xfId="0" applyNumberFormat="1" applyFont="1" applyFill="1" applyBorder="1"/>
    <xf numFmtId="8" fontId="0" fillId="0" borderId="0" xfId="0" applyNumberFormat="1"/>
    <xf numFmtId="44" fontId="2" fillId="0" borderId="61" xfId="1" applyNumberFormat="1" applyFont="1" applyBorder="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166" fontId="2" fillId="3" borderId="49" xfId="1" applyNumberFormat="1" applyFont="1" applyFill="1" applyBorder="1"/>
    <xf numFmtId="166" fontId="2" fillId="0" borderId="67" xfId="1" applyNumberFormat="1" applyFont="1" applyFill="1" applyBorder="1" applyAlignment="1"/>
    <xf numFmtId="166" fontId="2" fillId="3" borderId="50" xfId="1" applyNumberFormat="1" applyFont="1" applyFill="1" applyBorder="1"/>
    <xf numFmtId="166" fontId="2" fillId="0" borderId="61" xfId="1" applyNumberFormat="1" applyFont="1" applyFill="1" applyBorder="1"/>
    <xf numFmtId="166" fontId="2" fillId="0" borderId="61" xfId="1" applyNumberFormat="1" applyFont="1" applyFill="1" applyBorder="1" applyAlignment="1">
      <alignment horizontal="right"/>
    </xf>
    <xf numFmtId="166" fontId="2" fillId="0" borderId="62" xfId="1" applyNumberFormat="1" applyFont="1" applyFill="1" applyBorder="1"/>
    <xf numFmtId="166" fontId="2" fillId="0" borderId="67" xfId="1" applyNumberFormat="1" applyFont="1" applyFill="1" applyBorder="1"/>
    <xf numFmtId="166" fontId="2" fillId="0" borderId="71" xfId="1" applyNumberFormat="1" applyFont="1" applyFill="1" applyBorder="1"/>
    <xf numFmtId="166" fontId="2" fillId="0" borderId="65" xfId="1" applyNumberFormat="1" applyFont="1" applyBorder="1"/>
    <xf numFmtId="166" fontId="2" fillId="0" borderId="53" xfId="1" applyNumberFormat="1" applyFont="1" applyBorder="1"/>
    <xf numFmtId="44" fontId="2" fillId="0" borderId="76" xfId="1" applyNumberFormat="1" applyFont="1" applyBorder="1"/>
    <xf numFmtId="44" fontId="2" fillId="0" borderId="78"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44" fontId="2" fillId="0" borderId="73" xfId="1" applyNumberFormat="1" applyFont="1" applyBorder="1"/>
    <xf numFmtId="44" fontId="2" fillId="0" borderId="64" xfId="1" applyNumberFormat="1" applyFont="1" applyBorder="1"/>
    <xf numFmtId="0" fontId="2" fillId="0" borderId="117" xfId="2" applyFont="1" applyFill="1" applyBorder="1"/>
    <xf numFmtId="44" fontId="36" fillId="0" borderId="64" xfId="1" applyFont="1" applyBorder="1"/>
    <xf numFmtId="14" fontId="2" fillId="0" borderId="69" xfId="0" applyNumberFormat="1" applyFont="1" applyFill="1" applyBorder="1" applyAlignment="1">
      <alignment horizontal="center"/>
    </xf>
    <xf numFmtId="44" fontId="2" fillId="0" borderId="70" xfId="1" applyFont="1" applyFill="1" applyBorder="1"/>
    <xf numFmtId="2" fontId="0" fillId="0" borderId="0" xfId="0" applyNumberFormat="1"/>
    <xf numFmtId="44" fontId="2" fillId="0" borderId="67" xfId="1" applyFont="1" applyFill="1" applyBorder="1"/>
    <xf numFmtId="8" fontId="2" fillId="10" borderId="25" xfId="0" applyNumberFormat="1" applyFont="1" applyFill="1" applyBorder="1" applyAlignment="1">
      <alignment horizontal="right" vertical="center"/>
    </xf>
    <xf numFmtId="8" fontId="2" fillId="10" borderId="28" xfId="0" applyNumberFormat="1" applyFont="1" applyFill="1" applyBorder="1" applyAlignment="1">
      <alignment horizontal="right" vertical="center"/>
    </xf>
    <xf numFmtId="8" fontId="22" fillId="10" borderId="87" xfId="0" applyNumberFormat="1" applyFont="1" applyFill="1" applyBorder="1" applyAlignment="1">
      <alignment horizontal="right" vertical="center"/>
    </xf>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2"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166" fontId="2" fillId="0" borderId="4" xfId="0" applyNumberFormat="1" applyFont="1" applyBorder="1" applyAlignment="1">
      <alignment horizontal="center" vertical="center" wrapText="1"/>
    </xf>
    <xf numFmtId="166" fontId="2" fillId="0" borderId="7" xfId="0" applyNumberFormat="1" applyFont="1" applyBorder="1" applyAlignment="1">
      <alignment horizontal="center" vertical="center" wrapText="1"/>
    </xf>
    <xf numFmtId="0" fontId="21" fillId="0" borderId="10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5"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2" fillId="9" borderId="116"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2" xfId="0" applyFont="1" applyFill="1" applyBorder="1" applyAlignment="1">
      <alignment horizontal="center" vertical="center" wrapText="1"/>
    </xf>
    <xf numFmtId="168" fontId="2" fillId="0" borderId="32" xfId="1" applyNumberFormat="1" applyFont="1" applyBorder="1" applyAlignment="1">
      <alignment horizontal="center" vertical="center"/>
    </xf>
    <xf numFmtId="168" fontId="2" fillId="0" borderId="10" xfId="1" applyNumberFormat="1" applyFont="1" applyBorder="1" applyAlignment="1">
      <alignment horizontal="center" vertical="center"/>
    </xf>
    <xf numFmtId="168" fontId="2" fillId="0" borderId="32" xfId="0" applyNumberFormat="1" applyFont="1" applyBorder="1" applyAlignment="1">
      <alignment horizontal="center" vertical="center"/>
    </xf>
    <xf numFmtId="168" fontId="2" fillId="0" borderId="10" xfId="0" applyNumberFormat="1" applyFont="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2" fillId="0" borderId="5" xfId="0" applyNumberFormat="1" applyFont="1" applyFill="1" applyBorder="1" applyAlignment="1">
      <alignment horizontal="center" vertical="center" wrapText="1"/>
    </xf>
    <xf numFmtId="8" fontId="2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Border="1" applyAlignment="1">
      <alignment horizontal="center" vertical="center" wrapText="1"/>
    </xf>
    <xf numFmtId="168" fontId="2" fillId="0" borderId="36" xfId="0" applyNumberFormat="1" applyFont="1" applyBorder="1" applyAlignment="1">
      <alignment horizontal="center" vertical="center" wrapText="1"/>
    </xf>
    <xf numFmtId="168" fontId="2" fillId="0" borderId="27" xfId="0" applyNumberFormat="1" applyFont="1" applyBorder="1" applyAlignment="1">
      <alignment horizontal="center" vertical="center" wrapText="1"/>
    </xf>
    <xf numFmtId="0" fontId="2" fillId="10" borderId="25"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Border="1" applyAlignment="1">
      <alignment horizontal="center" vertical="center"/>
    </xf>
    <xf numFmtId="168" fontId="2" fillId="0" borderId="34" xfId="1" applyNumberFormat="1" applyFont="1" applyBorder="1" applyAlignment="1">
      <alignment horizontal="center" vertical="center" wrapText="1"/>
    </xf>
    <xf numFmtId="168" fontId="2" fillId="0" borderId="36" xfId="1" applyNumberFormat="1" applyFont="1" applyBorder="1" applyAlignment="1">
      <alignment horizontal="center" vertical="center" wrapText="1"/>
    </xf>
    <xf numFmtId="168" fontId="2" fillId="0" borderId="31"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xf>
    <xf numFmtId="0" fontId="31" fillId="0" borderId="1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8" xfId="0" applyFont="1" applyFill="1" applyBorder="1" applyAlignment="1">
      <alignment horizontal="center" vertical="center" wrapText="1"/>
    </xf>
    <xf numFmtId="49" fontId="31" fillId="0" borderId="34" xfId="0" applyNumberFormat="1" applyFont="1" applyFill="1" applyBorder="1" applyAlignment="1">
      <alignment horizontal="center" vertical="center" wrapText="1"/>
    </xf>
    <xf numFmtId="49" fontId="31" fillId="0" borderId="35" xfId="0" applyNumberFormat="1" applyFont="1" applyFill="1" applyBorder="1" applyAlignment="1">
      <alignment horizontal="center" vertical="center" wrapText="1"/>
    </xf>
    <xf numFmtId="49" fontId="31" fillId="0" borderId="10" xfId="0" applyNumberFormat="1" applyFont="1" applyFill="1" applyBorder="1" applyAlignment="1">
      <alignment horizontal="center" vertical="center" wrapText="1"/>
    </xf>
    <xf numFmtId="49" fontId="31" fillId="0" borderId="36" xfId="0" applyNumberFormat="1" applyFont="1" applyFill="1" applyBorder="1" applyAlignment="1">
      <alignment horizontal="center" vertical="center" wrapText="1"/>
    </xf>
    <xf numFmtId="166" fontId="22"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2" fillId="0" borderId="23" xfId="0" applyNumberFormat="1" applyFont="1" applyFill="1" applyBorder="1" applyAlignment="1">
      <alignment horizontal="center" vertical="center" wrapText="1"/>
    </xf>
    <xf numFmtId="166" fontId="22" fillId="0" borderId="24" xfId="0" applyNumberFormat="1" applyFont="1" applyFill="1" applyBorder="1" applyAlignment="1">
      <alignment horizontal="center" vertical="center" wrapText="1"/>
    </xf>
    <xf numFmtId="0" fontId="27" fillId="8" borderId="0" xfId="0" applyFont="1" applyFill="1" applyAlignment="1">
      <alignment horizontal="left" wrapText="1"/>
    </xf>
    <xf numFmtId="0" fontId="0" fillId="0" borderId="111"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9" xfId="0" applyBorder="1" applyAlignment="1">
      <alignment horizontal="center"/>
    </xf>
    <xf numFmtId="0" fontId="0" fillId="0" borderId="110"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4" xfId="0" applyBorder="1" applyAlignment="1">
      <alignment horizontal="left"/>
    </xf>
    <xf numFmtId="0" fontId="0" fillId="0" borderId="108"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0" fillId="0" borderId="0" xfId="0" applyAlignment="1">
      <alignment horizontal="center" vertical="top"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9" xfId="0" applyNumberFormat="1" applyFont="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4" fillId="0" borderId="0" xfId="0" applyFont="1" applyAlignment="1">
      <alignment horizontal="center"/>
    </xf>
  </cellXfs>
  <cellStyles count="7">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F114"/>
  <sheetViews>
    <sheetView tabSelected="1" zoomScaleNormal="100" workbookViewId="0">
      <pane xSplit="2" ySplit="4" topLeftCell="C68" activePane="bottomRight" state="frozen"/>
      <selection pane="topRight" activeCell="C1" sqref="C1"/>
      <selection pane="bottomLeft" activeCell="A4" sqref="A4"/>
      <selection pane="bottomRight" activeCell="D2" sqref="D2:M2"/>
    </sheetView>
  </sheetViews>
  <sheetFormatPr defaultColWidth="9.140625" defaultRowHeight="11.25"/>
  <cols>
    <col min="1" max="1" width="16.42578125" style="17" bestFit="1" customWidth="1"/>
    <col min="2" max="2" width="5" style="335" bestFit="1" customWidth="1"/>
    <col min="3" max="3" width="14.42578125" style="336" bestFit="1" customWidth="1"/>
    <col min="4" max="4" width="15.28515625" style="251" customWidth="1"/>
    <col min="5" max="7" width="15.28515625" style="246" customWidth="1"/>
    <col min="8" max="8" width="16" style="336" bestFit="1" customWidth="1"/>
    <col min="9" max="9" width="16" style="336" customWidth="1"/>
    <col min="10" max="11" width="16" style="341" customWidth="1"/>
    <col min="12" max="12" width="16.140625" style="338" customWidth="1"/>
    <col min="13" max="13" width="16.42578125" style="336" customWidth="1"/>
    <col min="14" max="14" width="15.28515625" style="404" bestFit="1" customWidth="1"/>
    <col min="15" max="15" width="19.5703125" style="401" bestFit="1" customWidth="1"/>
    <col min="16" max="17" width="15.7109375" style="336" bestFit="1" customWidth="1"/>
    <col min="18" max="18" width="15.28515625" style="402" customWidth="1"/>
    <col min="19" max="19" width="14.140625" style="402" customWidth="1"/>
    <col min="20" max="21" width="15" style="402" customWidth="1"/>
    <col min="22" max="22" width="17.7109375" style="343" customWidth="1"/>
    <col min="23" max="23" width="18.28515625" style="336" customWidth="1"/>
    <col min="24" max="24" width="17.85546875" style="403" customWidth="1"/>
    <col min="25" max="25" width="17.140625" style="403" customWidth="1"/>
    <col min="26" max="26" width="16.140625" style="340" customWidth="1"/>
    <col min="27" max="29" width="12.85546875" style="188" customWidth="1"/>
    <col min="30" max="31" width="12.85546875" style="28" customWidth="1"/>
    <col min="32" max="32" width="14.7109375" style="28" customWidth="1"/>
    <col min="33" max="33" width="13.140625" style="35" bestFit="1" customWidth="1"/>
    <col min="34" max="34" width="12.28515625" style="35" bestFit="1" customWidth="1"/>
    <col min="35" max="36" width="15" style="17" bestFit="1" customWidth="1"/>
    <col min="37" max="37" width="13.42578125" style="17" bestFit="1" customWidth="1"/>
    <col min="38" max="38" width="13.7109375" style="17" bestFit="1" customWidth="1"/>
    <col min="39" max="39" width="12.28515625" style="17" bestFit="1" customWidth="1"/>
    <col min="40" max="40" width="11.42578125" style="17" bestFit="1" customWidth="1"/>
    <col min="41" max="42" width="11.85546875" style="32" customWidth="1"/>
    <col min="43" max="48" width="11.85546875" style="17" customWidth="1"/>
    <col min="49" max="50" width="11.85546875" style="32" customWidth="1"/>
    <col min="51" max="52" width="11.85546875" style="18" customWidth="1"/>
    <col min="53" max="56" width="11.85546875" style="17" customWidth="1"/>
    <col min="57" max="57" width="12.7109375" style="345" customWidth="1"/>
    <col min="58" max="58" width="74.42578125" style="17" bestFit="1" customWidth="1"/>
    <col min="59" max="16384" width="9.140625" style="17"/>
  </cols>
  <sheetData>
    <row r="1" spans="1:58" s="31" customFormat="1" ht="15">
      <c r="A1" s="444" t="s">
        <v>604</v>
      </c>
      <c r="B1" s="444"/>
      <c r="C1" s="444"/>
      <c r="D1" s="248" t="s">
        <v>107</v>
      </c>
      <c r="E1" s="249">
        <v>45296</v>
      </c>
      <c r="F1" s="360"/>
      <c r="G1" s="358"/>
      <c r="H1" s="359"/>
      <c r="I1" s="359"/>
      <c r="J1" s="361"/>
      <c r="K1" s="315"/>
      <c r="L1" s="269"/>
      <c r="M1" s="366"/>
      <c r="N1" s="367"/>
      <c r="O1" s="367"/>
      <c r="P1" s="367"/>
      <c r="Q1" s="367"/>
      <c r="R1" s="368"/>
      <c r="S1" s="368"/>
      <c r="T1" s="368"/>
      <c r="U1" s="368"/>
      <c r="V1" s="277"/>
      <c r="W1" s="367"/>
      <c r="X1" s="367"/>
      <c r="Y1" s="369"/>
      <c r="Z1" s="274"/>
      <c r="AA1" s="367"/>
      <c r="AB1" s="367"/>
      <c r="AC1" s="367"/>
      <c r="AD1" s="263" t="s">
        <v>617</v>
      </c>
      <c r="AE1" s="263" t="s">
        <v>617</v>
      </c>
      <c r="AF1" s="263" t="s">
        <v>618</v>
      </c>
      <c r="AG1" s="69"/>
      <c r="AH1" s="68"/>
      <c r="AI1" s="17"/>
      <c r="AJ1" s="17"/>
      <c r="AK1" s="17"/>
      <c r="AL1" s="17"/>
      <c r="AM1" s="17"/>
      <c r="AN1" s="17"/>
      <c r="AO1" s="32"/>
      <c r="AP1" s="32"/>
      <c r="AQ1" s="17"/>
      <c r="AR1" s="17"/>
      <c r="AS1" s="17"/>
      <c r="AT1" s="17"/>
      <c r="AU1" s="17"/>
      <c r="AV1" s="17"/>
      <c r="AW1" s="32"/>
      <c r="AX1" s="32"/>
      <c r="AY1" s="18"/>
      <c r="AZ1" s="18"/>
      <c r="BA1" s="17"/>
      <c r="BB1" s="17"/>
      <c r="BC1" s="17"/>
      <c r="BD1" s="17"/>
      <c r="BE1" s="19"/>
      <c r="BF1" s="17"/>
    </row>
    <row r="2" spans="1:58" s="63" customFormat="1" ht="27" customHeight="1">
      <c r="A2" s="445" t="s">
        <v>0</v>
      </c>
      <c r="B2" s="447" t="s">
        <v>1</v>
      </c>
      <c r="C2" s="449" t="s">
        <v>605</v>
      </c>
      <c r="D2" s="459"/>
      <c r="E2" s="460"/>
      <c r="F2" s="460"/>
      <c r="G2" s="460"/>
      <c r="H2" s="460"/>
      <c r="I2" s="460"/>
      <c r="J2" s="460"/>
      <c r="K2" s="460"/>
      <c r="L2" s="460"/>
      <c r="M2" s="461"/>
      <c r="N2" s="472" t="s">
        <v>609</v>
      </c>
      <c r="O2" s="474" t="s">
        <v>610</v>
      </c>
      <c r="P2" s="476" t="s">
        <v>611</v>
      </c>
      <c r="Q2" s="477"/>
      <c r="R2" s="490" t="s">
        <v>346</v>
      </c>
      <c r="S2" s="491"/>
      <c r="T2" s="491"/>
      <c r="U2" s="492"/>
      <c r="V2" s="497" t="s">
        <v>717</v>
      </c>
      <c r="W2" s="462" t="s">
        <v>620</v>
      </c>
      <c r="X2" s="504" t="s">
        <v>659</v>
      </c>
      <c r="Y2" s="462" t="s">
        <v>691</v>
      </c>
      <c r="Z2" s="506" t="s">
        <v>614</v>
      </c>
      <c r="AA2" s="451" t="s">
        <v>616</v>
      </c>
      <c r="AB2" s="500" t="s">
        <v>101</v>
      </c>
      <c r="AC2" s="451" t="s">
        <v>102</v>
      </c>
      <c r="AD2" s="453" t="s">
        <v>615</v>
      </c>
      <c r="AE2" s="502" t="s">
        <v>657</v>
      </c>
      <c r="AF2" s="481" t="s">
        <v>619</v>
      </c>
      <c r="AG2" s="483" t="s">
        <v>103</v>
      </c>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67"/>
      <c r="BF2" s="66"/>
    </row>
    <row r="3" spans="1:58" s="63" customFormat="1" ht="15" customHeight="1">
      <c r="A3" s="445"/>
      <c r="B3" s="447"/>
      <c r="C3" s="449"/>
      <c r="D3" s="457" t="s">
        <v>367</v>
      </c>
      <c r="E3" s="455" t="s">
        <v>478</v>
      </c>
      <c r="F3" s="453" t="s">
        <v>368</v>
      </c>
      <c r="G3" s="455" t="s">
        <v>417</v>
      </c>
      <c r="H3" s="451" t="s">
        <v>607</v>
      </c>
      <c r="I3" s="462" t="s">
        <v>538</v>
      </c>
      <c r="J3" s="464" t="s">
        <v>606</v>
      </c>
      <c r="K3" s="466" t="s">
        <v>657</v>
      </c>
      <c r="L3" s="453" t="s">
        <v>658</v>
      </c>
      <c r="M3" s="462" t="s">
        <v>660</v>
      </c>
      <c r="N3" s="472"/>
      <c r="O3" s="474"/>
      <c r="P3" s="451" t="s">
        <v>105</v>
      </c>
      <c r="Q3" s="476" t="s">
        <v>106</v>
      </c>
      <c r="R3" s="493" t="s">
        <v>612</v>
      </c>
      <c r="S3" s="494"/>
      <c r="T3" s="495" t="s">
        <v>613</v>
      </c>
      <c r="U3" s="496"/>
      <c r="V3" s="498"/>
      <c r="W3" s="462"/>
      <c r="X3" s="504"/>
      <c r="Y3" s="462"/>
      <c r="Z3" s="506"/>
      <c r="AA3" s="451"/>
      <c r="AB3" s="500"/>
      <c r="AC3" s="451"/>
      <c r="AD3" s="453"/>
      <c r="AE3" s="502"/>
      <c r="AF3" s="481"/>
      <c r="AG3" s="485">
        <v>44880</v>
      </c>
      <c r="AH3" s="486"/>
      <c r="AI3" s="478">
        <v>44915</v>
      </c>
      <c r="AJ3" s="479"/>
      <c r="AK3" s="480">
        <v>44944</v>
      </c>
      <c r="AL3" s="480"/>
      <c r="AM3" s="480">
        <v>44978</v>
      </c>
      <c r="AN3" s="480"/>
      <c r="AO3" s="480">
        <v>45006</v>
      </c>
      <c r="AP3" s="480"/>
      <c r="AQ3" s="480">
        <v>45034</v>
      </c>
      <c r="AR3" s="480"/>
      <c r="AS3" s="480">
        <v>45062</v>
      </c>
      <c r="AT3" s="480"/>
      <c r="AU3" s="480">
        <v>45097</v>
      </c>
      <c r="AV3" s="487"/>
      <c r="AW3" s="470">
        <v>45125</v>
      </c>
      <c r="AX3" s="471"/>
      <c r="AY3" s="468">
        <v>45153</v>
      </c>
      <c r="AZ3" s="469"/>
      <c r="BA3" s="470">
        <v>45188</v>
      </c>
      <c r="BB3" s="471"/>
      <c r="BC3" s="470">
        <v>45216</v>
      </c>
      <c r="BD3" s="484"/>
      <c r="BE3" s="65" t="s">
        <v>108</v>
      </c>
      <c r="BF3" s="64"/>
    </row>
    <row r="4" spans="1:58" s="49" customFormat="1" ht="19.5" customHeight="1">
      <c r="A4" s="446"/>
      <c r="B4" s="448"/>
      <c r="C4" s="450"/>
      <c r="D4" s="458"/>
      <c r="E4" s="456"/>
      <c r="F4" s="454"/>
      <c r="G4" s="456"/>
      <c r="H4" s="452"/>
      <c r="I4" s="463"/>
      <c r="J4" s="465"/>
      <c r="K4" s="467"/>
      <c r="L4" s="454"/>
      <c r="M4" s="463"/>
      <c r="N4" s="473"/>
      <c r="O4" s="475"/>
      <c r="P4" s="452"/>
      <c r="Q4" s="488"/>
      <c r="R4" s="370" t="s">
        <v>104</v>
      </c>
      <c r="S4" s="371" t="s">
        <v>106</v>
      </c>
      <c r="T4" s="372" t="s">
        <v>104</v>
      </c>
      <c r="U4" s="373" t="s">
        <v>106</v>
      </c>
      <c r="V4" s="499"/>
      <c r="W4" s="489"/>
      <c r="X4" s="505"/>
      <c r="Y4" s="463"/>
      <c r="Z4" s="507"/>
      <c r="AA4" s="452"/>
      <c r="AB4" s="501"/>
      <c r="AC4" s="452"/>
      <c r="AD4" s="454"/>
      <c r="AE4" s="503"/>
      <c r="AF4" s="482"/>
      <c r="AG4" s="62" t="s">
        <v>104</v>
      </c>
      <c r="AH4" s="61" t="s">
        <v>106</v>
      </c>
      <c r="AI4" s="58" t="s">
        <v>104</v>
      </c>
      <c r="AJ4" s="51" t="s">
        <v>106</v>
      </c>
      <c r="AK4" s="60" t="s">
        <v>104</v>
      </c>
      <c r="AL4" s="51" t="s">
        <v>106</v>
      </c>
      <c r="AM4" s="53" t="s">
        <v>104</v>
      </c>
      <c r="AN4" s="51" t="s">
        <v>106</v>
      </c>
      <c r="AO4" s="59" t="s">
        <v>104</v>
      </c>
      <c r="AP4" s="56" t="s">
        <v>106</v>
      </c>
      <c r="AQ4" s="53" t="s">
        <v>104</v>
      </c>
      <c r="AR4" s="51" t="s">
        <v>106</v>
      </c>
      <c r="AS4" s="52" t="s">
        <v>104</v>
      </c>
      <c r="AT4" s="51" t="s">
        <v>106</v>
      </c>
      <c r="AU4" s="58" t="s">
        <v>104</v>
      </c>
      <c r="AV4" s="51" t="s">
        <v>106</v>
      </c>
      <c r="AW4" s="57" t="s">
        <v>104</v>
      </c>
      <c r="AX4" s="56" t="s">
        <v>106</v>
      </c>
      <c r="AY4" s="55" t="s">
        <v>104</v>
      </c>
      <c r="AZ4" s="54" t="s">
        <v>106</v>
      </c>
      <c r="BA4" s="53" t="s">
        <v>104</v>
      </c>
      <c r="BB4" s="51" t="s">
        <v>106</v>
      </c>
      <c r="BC4" s="52" t="s">
        <v>104</v>
      </c>
      <c r="BD4" s="51" t="s">
        <v>106</v>
      </c>
      <c r="BE4" s="50" t="s">
        <v>109</v>
      </c>
      <c r="BF4" s="185"/>
    </row>
    <row r="5" spans="1:58" s="31" customFormat="1" ht="12.75">
      <c r="A5" s="100" t="s">
        <v>2</v>
      </c>
      <c r="B5" s="48">
        <v>1</v>
      </c>
      <c r="C5" s="266">
        <v>6.9015253223052306E-3</v>
      </c>
      <c r="D5" s="254">
        <v>262227.34657489619</v>
      </c>
      <c r="E5" s="254">
        <v>253727.30706884805</v>
      </c>
      <c r="F5" s="255">
        <v>117670.66273930055</v>
      </c>
      <c r="G5" s="254">
        <v>102247.82459527798</v>
      </c>
      <c r="H5" s="257">
        <v>403405.62083582045</v>
      </c>
      <c r="I5" s="334">
        <v>83152.4570538267</v>
      </c>
      <c r="J5" s="406">
        <f>$C5*Allocations!$B$16</f>
        <v>396081.37477400462</v>
      </c>
      <c r="K5" s="407">
        <f>$C5*Allocations!$B$24</f>
        <v>80125.839399773118</v>
      </c>
      <c r="L5" s="254">
        <f>SUM(D5:K5)</f>
        <v>1698638.4330417477</v>
      </c>
      <c r="M5" s="175">
        <f>ROUND(AVERAGE(D5,(E5+F5+G5),(H5+I5),(J5+K5)),2)</f>
        <v>424659.61</v>
      </c>
      <c r="N5" s="264">
        <v>1015078.5927100892</v>
      </c>
      <c r="O5" s="271">
        <f t="shared" ref="O5:O36" si="0">$N5+$J5+$K5</f>
        <v>1491285.8068838669</v>
      </c>
      <c r="P5" s="256">
        <f t="shared" ref="P5:P36" si="1">AG5+AI5+AK5+AM5+AO5+AQ5+AS5+AU5+AW5+AY5+BA5+BC5+BE5</f>
        <v>1223831.8700000001</v>
      </c>
      <c r="Q5" s="257">
        <f t="shared" ref="Q5:Q36" si="2">AH5+AJ5+AL5+AN5+AP5+AR5+AT5+AV5+AX5+AZ5+BB5+BD5+BE5</f>
        <v>1223831.8700000001</v>
      </c>
      <c r="R5" s="347"/>
      <c r="S5" s="348"/>
      <c r="T5" s="348"/>
      <c r="U5" s="349"/>
      <c r="V5" s="362">
        <f>'Project Final Cost Tracking'!C4</f>
        <v>-872.68000000005122</v>
      </c>
      <c r="W5" s="375">
        <f>$O5-$Q5-$V5</f>
        <v>268326.61688386684</v>
      </c>
      <c r="X5" s="374">
        <f t="shared" ref="X5:X36" si="3">$W5/$M5</f>
        <v>0.63186281568870384</v>
      </c>
      <c r="Y5" s="375">
        <f>(($J5+$K5)*4.5)+$W5</f>
        <v>2411259.0806658668</v>
      </c>
      <c r="Z5" s="376">
        <f t="shared" ref="Z5:Z36" si="4">IF((($W5-$L5)-($S5+$U5))&gt;0,(($W5-$L5)-($S5+$U5)),0)</f>
        <v>0</v>
      </c>
      <c r="AA5" s="256">
        <f t="shared" ref="AA5:AA36" si="5">IF($Z5&gt;0,0,($J5+$K5))</f>
        <v>476207.21417377773</v>
      </c>
      <c r="AB5" s="276">
        <f>IF($AA5&gt;0,$AA5/$AA$104,0)</f>
        <v>6.9015253223052297E-3</v>
      </c>
      <c r="AC5" s="257">
        <f t="shared" ref="AC5:AC36" si="6">IF($AB5&gt;0,$AB5*$Z$104,0)</f>
        <v>0</v>
      </c>
      <c r="AD5" s="252">
        <f>$C5*Allocations!$B$16</f>
        <v>396081.37477400462</v>
      </c>
      <c r="AE5" s="259">
        <f>$C5*Allocations!$B$24</f>
        <v>80125.839399773118</v>
      </c>
      <c r="AF5" s="441">
        <f t="shared" ref="AF5:AF36" si="7">$N5+$AD5+$AE5+$AC5-$Q5-$V5-$Z5</f>
        <v>268326.61688386684</v>
      </c>
      <c r="AG5" s="163">
        <f>Adair!C4</f>
        <v>1223831.8700000001</v>
      </c>
      <c r="AH5" s="151">
        <f>Adair!D4</f>
        <v>1223831.8700000001</v>
      </c>
      <c r="AI5" s="161"/>
      <c r="AJ5" s="157"/>
      <c r="AK5" s="155"/>
      <c r="AL5" s="156"/>
      <c r="AM5" s="208"/>
      <c r="AN5" s="157"/>
      <c r="AO5" s="155"/>
      <c r="AP5" s="156"/>
      <c r="AQ5" s="155"/>
      <c r="AR5" s="156"/>
      <c r="AS5" s="155"/>
      <c r="AT5" s="157"/>
      <c r="AU5" s="155"/>
      <c r="AV5" s="157"/>
      <c r="AW5" s="155"/>
      <c r="AX5" s="157"/>
      <c r="AY5" s="158"/>
      <c r="AZ5" s="151"/>
      <c r="BA5" s="155"/>
      <c r="BB5" s="156"/>
      <c r="BC5" s="159"/>
      <c r="BD5" s="160"/>
      <c r="BE5" s="189"/>
      <c r="BF5" s="186"/>
    </row>
    <row r="6" spans="1:58" s="31" customFormat="1" ht="12.75">
      <c r="A6" s="100" t="s">
        <v>3</v>
      </c>
      <c r="B6" s="48">
        <v>2</v>
      </c>
      <c r="C6" s="266">
        <v>1.0242941042462759E-2</v>
      </c>
      <c r="D6" s="254">
        <v>283553.38573789096</v>
      </c>
      <c r="E6" s="254">
        <v>302909.11117816949</v>
      </c>
      <c r="F6" s="255">
        <v>140479.62071514805</v>
      </c>
      <c r="G6" s="254">
        <v>122067.26199814567</v>
      </c>
      <c r="H6" s="256">
        <v>575890.93929647526</v>
      </c>
      <c r="I6" s="175">
        <v>118706.19575979386</v>
      </c>
      <c r="J6" s="406">
        <f>$C6*Allocations!$B$16</f>
        <v>587846.59627570619</v>
      </c>
      <c r="K6" s="407">
        <f>$C6*Allocations!$B$24</f>
        <v>118919.25489242129</v>
      </c>
      <c r="L6" s="254">
        <f t="shared" ref="L6:L69" si="8">SUM(D6:K6)</f>
        <v>2250372.3658537511</v>
      </c>
      <c r="M6" s="175">
        <f t="shared" ref="M6:M69" si="9">ROUND(AVERAGE(D6,(E6+F6+G6),(H6+I6),(J6+K6)),2)</f>
        <v>562593.09</v>
      </c>
      <c r="N6" s="264">
        <v>274386.04684079112</v>
      </c>
      <c r="O6" s="271">
        <f t="shared" si="0"/>
        <v>981151.89800891862</v>
      </c>
      <c r="P6" s="256">
        <f t="shared" si="1"/>
        <v>0</v>
      </c>
      <c r="Q6" s="257">
        <f t="shared" si="2"/>
        <v>0</v>
      </c>
      <c r="R6" s="347"/>
      <c r="S6" s="348"/>
      <c r="T6" s="348"/>
      <c r="U6" s="349"/>
      <c r="V6" s="362">
        <f>'Project Final Cost Tracking'!C5</f>
        <v>0</v>
      </c>
      <c r="W6" s="375">
        <f t="shared" ref="W6:W69" si="10">$O6-$Q6-$V6</f>
        <v>981151.89800891862</v>
      </c>
      <c r="X6" s="374">
        <f t="shared" si="3"/>
        <v>1.7439814236056803</v>
      </c>
      <c r="Y6" s="375">
        <f t="shared" ref="Y6:Y69" si="11">(($J6+$K6)*4.5)+$W6</f>
        <v>4161598.2282654922</v>
      </c>
      <c r="Z6" s="376">
        <f t="shared" si="4"/>
        <v>0</v>
      </c>
      <c r="AA6" s="256">
        <f t="shared" si="5"/>
        <v>706765.8511681275</v>
      </c>
      <c r="AB6" s="276">
        <f t="shared" ref="AB6:AB69" si="12">IF($AA6&gt;0,$AA6/$AA$104,0)</f>
        <v>1.0242941042462759E-2</v>
      </c>
      <c r="AC6" s="257">
        <f t="shared" si="6"/>
        <v>0</v>
      </c>
      <c r="AD6" s="255">
        <f>$C6*Allocations!$B$16</f>
        <v>587846.59627570619</v>
      </c>
      <c r="AE6" s="259">
        <f>$C6*Allocations!$B$24</f>
        <v>118919.25489242129</v>
      </c>
      <c r="AF6" s="441">
        <f t="shared" si="7"/>
        <v>981151.89800891862</v>
      </c>
      <c r="AG6" s="163"/>
      <c r="AH6" s="151"/>
      <c r="AI6" s="161"/>
      <c r="AJ6" s="156"/>
      <c r="AK6" s="155"/>
      <c r="AL6" s="156"/>
      <c r="AM6" s="161"/>
      <c r="AN6" s="156"/>
      <c r="AO6" s="155"/>
      <c r="AP6" s="156"/>
      <c r="AQ6" s="155"/>
      <c r="AR6" s="156"/>
      <c r="AS6" s="155"/>
      <c r="AT6" s="156"/>
      <c r="AU6" s="155"/>
      <c r="AV6" s="156"/>
      <c r="AW6" s="155"/>
      <c r="AX6" s="156"/>
      <c r="AY6" s="158"/>
      <c r="AZ6" s="151"/>
      <c r="BA6" s="161"/>
      <c r="BB6" s="162"/>
      <c r="BC6" s="161"/>
      <c r="BD6" s="156"/>
      <c r="BE6" s="189"/>
      <c r="BF6" s="186"/>
    </row>
    <row r="7" spans="1:58" s="203" customFormat="1" ht="12.75">
      <c r="A7" s="201" t="s">
        <v>4</v>
      </c>
      <c r="B7" s="202">
        <v>3</v>
      </c>
      <c r="C7" s="266">
        <v>5.9103213855195742E-3</v>
      </c>
      <c r="D7" s="257">
        <v>263441.29805587447</v>
      </c>
      <c r="E7" s="257">
        <v>245348.75367161381</v>
      </c>
      <c r="F7" s="256">
        <v>113784.95590530318</v>
      </c>
      <c r="G7" s="257">
        <v>98871.408914918764</v>
      </c>
      <c r="H7" s="256">
        <v>398423.0445646813</v>
      </c>
      <c r="I7" s="175">
        <v>82125.417672112351</v>
      </c>
      <c r="J7" s="406">
        <f>$C7*Allocations!$B$16</f>
        <v>339195.77345705783</v>
      </c>
      <c r="K7" s="407">
        <f>$C7*Allocations!$B$24</f>
        <v>68618.086585387675</v>
      </c>
      <c r="L7" s="257">
        <f t="shared" si="8"/>
        <v>1609808.7388269494</v>
      </c>
      <c r="M7" s="175">
        <f t="shared" si="9"/>
        <v>402452.18</v>
      </c>
      <c r="N7" s="264">
        <v>-1206270.1424138618</v>
      </c>
      <c r="O7" s="271">
        <f t="shared" si="0"/>
        <v>-798456.28237141634</v>
      </c>
      <c r="P7" s="256">
        <f t="shared" si="1"/>
        <v>0</v>
      </c>
      <c r="Q7" s="257">
        <f t="shared" si="2"/>
        <v>0</v>
      </c>
      <c r="R7" s="347"/>
      <c r="S7" s="348"/>
      <c r="T7" s="348"/>
      <c r="U7" s="349"/>
      <c r="V7" s="362">
        <f>'Project Final Cost Tracking'!C6</f>
        <v>-44440.089999999909</v>
      </c>
      <c r="W7" s="375">
        <f t="shared" si="10"/>
        <v>-754016.19237141637</v>
      </c>
      <c r="X7" s="374">
        <f t="shared" si="3"/>
        <v>-1.8735547472283947</v>
      </c>
      <c r="Y7" s="375">
        <f t="shared" si="11"/>
        <v>1081146.1778195882</v>
      </c>
      <c r="Z7" s="376">
        <f t="shared" si="4"/>
        <v>0</v>
      </c>
      <c r="AA7" s="256">
        <f t="shared" si="5"/>
        <v>407813.86004244548</v>
      </c>
      <c r="AB7" s="276">
        <f t="shared" si="12"/>
        <v>5.9103213855195742E-3</v>
      </c>
      <c r="AC7" s="257">
        <f t="shared" si="6"/>
        <v>0</v>
      </c>
      <c r="AD7" s="256">
        <f>$C7*Allocations!$B$16</f>
        <v>339195.77345705783</v>
      </c>
      <c r="AE7" s="175">
        <f>$C7*Allocations!$B$24</f>
        <v>68618.086585387675</v>
      </c>
      <c r="AF7" s="441">
        <f t="shared" si="7"/>
        <v>-754016.19237141637</v>
      </c>
      <c r="AG7" s="163"/>
      <c r="AH7" s="151"/>
      <c r="AI7" s="161"/>
      <c r="AJ7" s="156"/>
      <c r="AK7" s="155"/>
      <c r="AL7" s="156"/>
      <c r="AM7" s="161"/>
      <c r="AN7" s="156"/>
      <c r="AO7" s="155"/>
      <c r="AP7" s="156"/>
      <c r="AQ7" s="155"/>
      <c r="AR7" s="156"/>
      <c r="AS7" s="155"/>
      <c r="AT7" s="156"/>
      <c r="AU7" s="155"/>
      <c r="AV7" s="156"/>
      <c r="AW7" s="155"/>
      <c r="AX7" s="156"/>
      <c r="AY7" s="158"/>
      <c r="AZ7" s="151"/>
      <c r="BA7" s="155"/>
      <c r="BB7" s="156"/>
      <c r="BC7" s="159"/>
      <c r="BD7" s="160"/>
      <c r="BE7" s="189"/>
      <c r="BF7" s="186"/>
    </row>
    <row r="8" spans="1:58" s="31" customFormat="1" ht="12.75">
      <c r="A8" s="100" t="s">
        <v>5</v>
      </c>
      <c r="B8" s="48">
        <v>4</v>
      </c>
      <c r="C8" s="266">
        <v>1.2816143224060203E-2</v>
      </c>
      <c r="D8" s="254">
        <v>313589.35837883881</v>
      </c>
      <c r="E8" s="254">
        <v>344279.07629637915</v>
      </c>
      <c r="F8" s="255">
        <v>159665.69599099745</v>
      </c>
      <c r="G8" s="254">
        <v>138738.66006635467</v>
      </c>
      <c r="H8" s="256">
        <v>543312.29422197316</v>
      </c>
      <c r="I8" s="175">
        <v>111990.88430772084</v>
      </c>
      <c r="J8" s="406">
        <f>$C8*Allocations!$B$16</f>
        <v>735523.72706368018</v>
      </c>
      <c r="K8" s="407">
        <f>$C8*Allocations!$B$24</f>
        <v>148793.80799729272</v>
      </c>
      <c r="L8" s="254">
        <f t="shared" si="8"/>
        <v>2495893.5043232371</v>
      </c>
      <c r="M8" s="175">
        <f t="shared" si="9"/>
        <v>623973.38</v>
      </c>
      <c r="N8" s="264">
        <v>1445635.0530748242</v>
      </c>
      <c r="O8" s="271">
        <f t="shared" si="0"/>
        <v>2329952.5881357971</v>
      </c>
      <c r="P8" s="256">
        <f t="shared" si="1"/>
        <v>584006.48</v>
      </c>
      <c r="Q8" s="257">
        <f t="shared" si="2"/>
        <v>584006.48</v>
      </c>
      <c r="R8" s="347"/>
      <c r="S8" s="348"/>
      <c r="T8" s="348">
        <f>Appanoose!C6+Appanoose!C7</f>
        <v>1306285.8999999999</v>
      </c>
      <c r="U8" s="349">
        <f>Appanoose!D6+Appanoose!D7</f>
        <v>1306285.8999999999</v>
      </c>
      <c r="V8" s="362">
        <f>'Project Final Cost Tracking'!C7</f>
        <v>-6424.7700000000186</v>
      </c>
      <c r="W8" s="375">
        <f t="shared" si="10"/>
        <v>1752370.8781357971</v>
      </c>
      <c r="X8" s="374">
        <f t="shared" si="3"/>
        <v>2.8084064710193197</v>
      </c>
      <c r="Y8" s="375">
        <f t="shared" si="11"/>
        <v>5731799.7859101752</v>
      </c>
      <c r="Z8" s="376">
        <f t="shared" si="4"/>
        <v>0</v>
      </c>
      <c r="AA8" s="256">
        <f t="shared" si="5"/>
        <v>884317.53506097291</v>
      </c>
      <c r="AB8" s="276">
        <f t="shared" si="12"/>
        <v>1.2816143224060203E-2</v>
      </c>
      <c r="AC8" s="257">
        <f t="shared" si="6"/>
        <v>0</v>
      </c>
      <c r="AD8" s="255">
        <f>$C8*Allocations!$B$16</f>
        <v>735523.72706368018</v>
      </c>
      <c r="AE8" s="259">
        <f>$C8*Allocations!$B$24</f>
        <v>148793.80799729272</v>
      </c>
      <c r="AF8" s="441">
        <f t="shared" si="7"/>
        <v>1752370.8781357971</v>
      </c>
      <c r="AG8" s="163">
        <f>Appanoose!C5</f>
        <v>584006.48</v>
      </c>
      <c r="AH8" s="164">
        <f>Appanoose!D5</f>
        <v>584006.48</v>
      </c>
      <c r="AI8" s="161"/>
      <c r="AJ8" s="156"/>
      <c r="AK8" s="155"/>
      <c r="AL8" s="156"/>
      <c r="AM8" s="161"/>
      <c r="AN8" s="156"/>
      <c r="AO8" s="174"/>
      <c r="AP8" s="156"/>
      <c r="AQ8" s="155"/>
      <c r="AR8" s="156"/>
      <c r="AS8" s="162"/>
      <c r="AT8" s="165"/>
      <c r="AU8" s="155"/>
      <c r="AV8" s="156"/>
      <c r="AW8" s="155"/>
      <c r="AX8" s="156"/>
      <c r="AY8" s="158"/>
      <c r="AZ8" s="151"/>
      <c r="BA8" s="155"/>
      <c r="BB8" s="156"/>
      <c r="BC8" s="159"/>
      <c r="BD8" s="160"/>
      <c r="BE8" s="189"/>
      <c r="BF8" s="186"/>
    </row>
    <row r="9" spans="1:58" s="31" customFormat="1" ht="12.75">
      <c r="A9" s="101" t="s">
        <v>6</v>
      </c>
      <c r="B9" s="47">
        <v>5</v>
      </c>
      <c r="C9" s="267">
        <v>5.8417982601795563E-3</v>
      </c>
      <c r="D9" s="258">
        <v>213522.35700913228</v>
      </c>
      <c r="E9" s="258">
        <v>176015.58895021756</v>
      </c>
      <c r="F9" s="247">
        <v>81630.437194528335</v>
      </c>
      <c r="G9" s="258">
        <v>70931.313120873165</v>
      </c>
      <c r="H9" s="332">
        <v>275350.51652813668</v>
      </c>
      <c r="I9" s="178">
        <v>56756.948385885808</v>
      </c>
      <c r="J9" s="408">
        <f>$C9*Allocations!$B$16</f>
        <v>335263.20313078968</v>
      </c>
      <c r="K9" s="409">
        <f>$C9*Allocations!$B$24</f>
        <v>67822.54173410387</v>
      </c>
      <c r="L9" s="258">
        <f t="shared" si="8"/>
        <v>1277292.9060536672</v>
      </c>
      <c r="M9" s="178">
        <f t="shared" si="9"/>
        <v>319323.23</v>
      </c>
      <c r="N9" s="265">
        <v>-783799.13302167365</v>
      </c>
      <c r="O9" s="377">
        <f t="shared" si="0"/>
        <v>-380713.3881567801</v>
      </c>
      <c r="P9" s="332">
        <f t="shared" si="1"/>
        <v>0</v>
      </c>
      <c r="Q9" s="378">
        <f t="shared" si="2"/>
        <v>0</v>
      </c>
      <c r="R9" s="379"/>
      <c r="S9" s="380"/>
      <c r="T9" s="380"/>
      <c r="U9" s="381"/>
      <c r="V9" s="198">
        <f>'Project Final Cost Tracking'!C8</f>
        <v>3015.6300000000047</v>
      </c>
      <c r="W9" s="383">
        <f t="shared" si="10"/>
        <v>-383729.0181567801</v>
      </c>
      <c r="X9" s="382">
        <f t="shared" si="3"/>
        <v>-1.2016946532727359</v>
      </c>
      <c r="Y9" s="383">
        <f t="shared" si="11"/>
        <v>1430156.8337352409</v>
      </c>
      <c r="Z9" s="384">
        <f t="shared" si="4"/>
        <v>0</v>
      </c>
      <c r="AA9" s="332">
        <f t="shared" si="5"/>
        <v>403085.74486489355</v>
      </c>
      <c r="AB9" s="385">
        <f t="shared" si="12"/>
        <v>5.8417982601795563E-3</v>
      </c>
      <c r="AC9" s="378">
        <f t="shared" si="6"/>
        <v>0</v>
      </c>
      <c r="AD9" s="247">
        <f>$C9*Allocations!$B$16</f>
        <v>335263.20313078968</v>
      </c>
      <c r="AE9" s="260">
        <f>$C9*Allocations!$B$24</f>
        <v>67822.54173410387</v>
      </c>
      <c r="AF9" s="442">
        <f t="shared" si="7"/>
        <v>-383729.0181567801</v>
      </c>
      <c r="AG9" s="172"/>
      <c r="AH9" s="169"/>
      <c r="AI9" s="184"/>
      <c r="AJ9" s="167"/>
      <c r="AK9" s="166"/>
      <c r="AL9" s="167"/>
      <c r="AM9" s="184"/>
      <c r="AN9" s="167"/>
      <c r="AO9" s="166"/>
      <c r="AP9" s="167"/>
      <c r="AQ9" s="166"/>
      <c r="AR9" s="167"/>
      <c r="AS9" s="166"/>
      <c r="AT9" s="167"/>
      <c r="AU9" s="166"/>
      <c r="AV9" s="167"/>
      <c r="AW9" s="166"/>
      <c r="AX9" s="167"/>
      <c r="AY9" s="168"/>
      <c r="AZ9" s="169"/>
      <c r="BA9" s="166"/>
      <c r="BB9" s="167"/>
      <c r="BC9" s="170"/>
      <c r="BD9" s="171"/>
      <c r="BE9" s="190"/>
      <c r="BF9" s="186"/>
    </row>
    <row r="10" spans="1:58" s="31" customFormat="1" ht="12.75">
      <c r="A10" s="100" t="s">
        <v>7</v>
      </c>
      <c r="B10" s="48">
        <v>6</v>
      </c>
      <c r="C10" s="266">
        <v>2.0853351508379997E-2</v>
      </c>
      <c r="D10" s="254">
        <v>703341.84163676633</v>
      </c>
      <c r="E10" s="254">
        <v>776370.69347762049</v>
      </c>
      <c r="F10" s="255">
        <v>360056.05816835788</v>
      </c>
      <c r="G10" s="254">
        <v>312864.29279003054</v>
      </c>
      <c r="H10" s="256">
        <v>1211607.0420866881</v>
      </c>
      <c r="I10" s="175">
        <v>249743.92355883948</v>
      </c>
      <c r="J10" s="406">
        <f>$C10*Allocations!$B$16</f>
        <v>1196782.4137933981</v>
      </c>
      <c r="K10" s="407">
        <f>$C10*Allocations!$B$24</f>
        <v>242104.78349000172</v>
      </c>
      <c r="L10" s="254">
        <f t="shared" si="8"/>
        <v>5052871.049001703</v>
      </c>
      <c r="M10" s="175">
        <f t="shared" si="9"/>
        <v>1263217.76</v>
      </c>
      <c r="N10" s="264">
        <v>3178635.3136748415</v>
      </c>
      <c r="O10" s="271">
        <f t="shared" si="0"/>
        <v>4617522.5109582413</v>
      </c>
      <c r="P10" s="256">
        <f t="shared" si="1"/>
        <v>0</v>
      </c>
      <c r="Q10" s="257">
        <f t="shared" si="2"/>
        <v>0</v>
      </c>
      <c r="R10" s="347"/>
      <c r="S10" s="348"/>
      <c r="T10" s="348"/>
      <c r="U10" s="349"/>
      <c r="V10" s="362">
        <f>'Project Final Cost Tracking'!C9</f>
        <v>5944.9200000000419</v>
      </c>
      <c r="W10" s="375">
        <f t="shared" si="10"/>
        <v>4611577.5909582414</v>
      </c>
      <c r="X10" s="374">
        <f t="shared" si="3"/>
        <v>3.6506592425982367</v>
      </c>
      <c r="Y10" s="375">
        <f t="shared" si="11"/>
        <v>11086569.97873354</v>
      </c>
      <c r="Z10" s="376">
        <f t="shared" si="4"/>
        <v>0</v>
      </c>
      <c r="AA10" s="256">
        <f t="shared" si="5"/>
        <v>1438887.1972833998</v>
      </c>
      <c r="AB10" s="276">
        <f t="shared" si="12"/>
        <v>2.0853351508379997E-2</v>
      </c>
      <c r="AC10" s="257">
        <f t="shared" si="6"/>
        <v>0</v>
      </c>
      <c r="AD10" s="255">
        <f>$C10*Allocations!$B$16</f>
        <v>1196782.4137933981</v>
      </c>
      <c r="AE10" s="259">
        <f>$C10*Allocations!$B$24</f>
        <v>242104.78349000172</v>
      </c>
      <c r="AF10" s="441">
        <f t="shared" si="7"/>
        <v>4611577.5909582414</v>
      </c>
      <c r="AG10" s="163"/>
      <c r="AH10" s="151"/>
      <c r="AI10" s="161"/>
      <c r="AJ10" s="156"/>
      <c r="AK10" s="155"/>
      <c r="AL10" s="156"/>
      <c r="AM10" s="161"/>
      <c r="AN10" s="156"/>
      <c r="AO10" s="155"/>
      <c r="AP10" s="156"/>
      <c r="AQ10" s="155"/>
      <c r="AR10" s="156"/>
      <c r="AS10" s="155"/>
      <c r="AT10" s="156"/>
      <c r="AU10" s="155"/>
      <c r="AV10" s="156"/>
      <c r="AW10" s="155"/>
      <c r="AX10" s="156"/>
      <c r="AY10" s="158"/>
      <c r="AZ10" s="151"/>
      <c r="BA10" s="155"/>
      <c r="BB10" s="156"/>
      <c r="BC10" s="155"/>
      <c r="BD10" s="160"/>
      <c r="BE10" s="189"/>
      <c r="BF10" s="186"/>
    </row>
    <row r="11" spans="1:58" s="31" customFormat="1" ht="12.75">
      <c r="A11" s="100" t="s">
        <v>8</v>
      </c>
      <c r="B11" s="48">
        <v>7</v>
      </c>
      <c r="C11" s="266">
        <v>1.0356667281562364E-2</v>
      </c>
      <c r="D11" s="254">
        <v>366644.65885722474</v>
      </c>
      <c r="E11" s="254">
        <v>332605.10435663385</v>
      </c>
      <c r="F11" s="255">
        <v>154251.67875012918</v>
      </c>
      <c r="G11" s="254">
        <v>134034.24630413641</v>
      </c>
      <c r="H11" s="256">
        <v>495536.13146073191</v>
      </c>
      <c r="I11" s="175">
        <v>102142.96668582542</v>
      </c>
      <c r="J11" s="406">
        <f>$C11*Allocations!$B$16</f>
        <v>594373.39187911677</v>
      </c>
      <c r="K11" s="407">
        <f>$C11*Allocations!$B$24</f>
        <v>120239.60219886157</v>
      </c>
      <c r="L11" s="254">
        <f t="shared" si="8"/>
        <v>2299827.7804926597</v>
      </c>
      <c r="M11" s="175">
        <f t="shared" si="9"/>
        <v>574956.94999999995</v>
      </c>
      <c r="N11" s="264">
        <v>151228.15593564161</v>
      </c>
      <c r="O11" s="271">
        <f t="shared" si="0"/>
        <v>865841.15001361992</v>
      </c>
      <c r="P11" s="256">
        <f t="shared" si="1"/>
        <v>809573.8</v>
      </c>
      <c r="Q11" s="257">
        <f t="shared" si="2"/>
        <v>809573.8</v>
      </c>
      <c r="R11" s="347"/>
      <c r="S11" s="348"/>
      <c r="T11" s="348">
        <f>'Black Hawk'!C7</f>
        <v>1051193.58</v>
      </c>
      <c r="U11" s="349">
        <f>'Black Hawk'!D7</f>
        <v>1051193.58</v>
      </c>
      <c r="V11" s="362">
        <f>'Project Final Cost Tracking'!C10</f>
        <v>12306.650000000081</v>
      </c>
      <c r="W11" s="375">
        <f t="shared" si="10"/>
        <v>43960.700013619789</v>
      </c>
      <c r="X11" s="374">
        <f t="shared" si="3"/>
        <v>7.645911578879043E-2</v>
      </c>
      <c r="Y11" s="375">
        <f t="shared" si="11"/>
        <v>3259719.1733645224</v>
      </c>
      <c r="Z11" s="376">
        <f t="shared" si="4"/>
        <v>0</v>
      </c>
      <c r="AA11" s="256">
        <f t="shared" si="5"/>
        <v>714612.99407797831</v>
      </c>
      <c r="AB11" s="276">
        <f t="shared" si="12"/>
        <v>1.0356667281562364E-2</v>
      </c>
      <c r="AC11" s="257">
        <f t="shared" si="6"/>
        <v>0</v>
      </c>
      <c r="AD11" s="255">
        <f>$C11*Allocations!$B$16</f>
        <v>594373.39187911677</v>
      </c>
      <c r="AE11" s="259">
        <f>$C11*Allocations!$B$24</f>
        <v>120239.60219886157</v>
      </c>
      <c r="AF11" s="441">
        <f t="shared" si="7"/>
        <v>43960.700013619789</v>
      </c>
      <c r="AG11" s="163">
        <f>'Black Hawk'!C6</f>
        <v>809573.8</v>
      </c>
      <c r="AH11" s="151">
        <f>'Black Hawk'!D6</f>
        <v>809573.8</v>
      </c>
      <c r="AI11" s="161"/>
      <c r="AJ11" s="156"/>
      <c r="AK11" s="155"/>
      <c r="AL11" s="156"/>
      <c r="AM11" s="161"/>
      <c r="AN11" s="156"/>
      <c r="AO11" s="155"/>
      <c r="AP11" s="156"/>
      <c r="AQ11" s="155"/>
      <c r="AR11" s="156"/>
      <c r="AS11" s="155"/>
      <c r="AT11" s="156"/>
      <c r="AU11" s="155"/>
      <c r="AV11" s="156"/>
      <c r="AW11" s="155"/>
      <c r="AX11" s="156"/>
      <c r="AY11" s="158"/>
      <c r="AZ11" s="151"/>
      <c r="BA11" s="155"/>
      <c r="BB11" s="156"/>
      <c r="BC11" s="159"/>
      <c r="BD11" s="160"/>
      <c r="BE11" s="189"/>
      <c r="BF11" s="186"/>
    </row>
    <row r="12" spans="1:58" s="31" customFormat="1" ht="12.75">
      <c r="A12" s="100" t="s">
        <v>9</v>
      </c>
      <c r="B12" s="48">
        <v>8</v>
      </c>
      <c r="C12" s="266">
        <v>9.6881800791820231E-3</v>
      </c>
      <c r="D12" s="254">
        <v>298901.29805763194</v>
      </c>
      <c r="E12" s="254">
        <v>297815.80733950413</v>
      </c>
      <c r="F12" s="255">
        <v>138117.50823639246</v>
      </c>
      <c r="G12" s="254">
        <v>120014.74647065852</v>
      </c>
      <c r="H12" s="256">
        <v>605617.11080080306</v>
      </c>
      <c r="I12" s="175">
        <v>124833.53774939464</v>
      </c>
      <c r="J12" s="406">
        <f>$C12*Allocations!$B$16</f>
        <v>556008.6365862689</v>
      </c>
      <c r="K12" s="407">
        <f>$C12*Allocations!$B$24</f>
        <v>112478.55000861331</v>
      </c>
      <c r="L12" s="254">
        <f t="shared" si="8"/>
        <v>2253787.1952492665</v>
      </c>
      <c r="M12" s="175">
        <f t="shared" si="9"/>
        <v>563446.80000000005</v>
      </c>
      <c r="N12" s="264">
        <v>251857.99483040615</v>
      </c>
      <c r="O12" s="271">
        <f t="shared" si="0"/>
        <v>920345.18142528832</v>
      </c>
      <c r="P12" s="256">
        <f t="shared" si="1"/>
        <v>0</v>
      </c>
      <c r="Q12" s="257">
        <f t="shared" si="2"/>
        <v>0</v>
      </c>
      <c r="R12" s="347"/>
      <c r="S12" s="348"/>
      <c r="T12" s="348"/>
      <c r="U12" s="349"/>
      <c r="V12" s="362">
        <f>'Project Final Cost Tracking'!C11</f>
        <v>1820.8500000000349</v>
      </c>
      <c r="W12" s="375">
        <f t="shared" si="10"/>
        <v>918524.33142528823</v>
      </c>
      <c r="X12" s="374">
        <f t="shared" si="3"/>
        <v>1.6301882119577007</v>
      </c>
      <c r="Y12" s="375">
        <f t="shared" si="11"/>
        <v>3926716.6711022579</v>
      </c>
      <c r="Z12" s="376">
        <f t="shared" si="4"/>
        <v>0</v>
      </c>
      <c r="AA12" s="256">
        <f t="shared" si="5"/>
        <v>668487.18659488217</v>
      </c>
      <c r="AB12" s="276">
        <f t="shared" si="12"/>
        <v>9.6881800791820231E-3</v>
      </c>
      <c r="AC12" s="257">
        <f t="shared" si="6"/>
        <v>0</v>
      </c>
      <c r="AD12" s="255">
        <f>$C12*Allocations!$B$16</f>
        <v>556008.6365862689</v>
      </c>
      <c r="AE12" s="259">
        <f>$C12*Allocations!$B$24</f>
        <v>112478.55000861331</v>
      </c>
      <c r="AF12" s="441">
        <f t="shared" si="7"/>
        <v>918524.33142528823</v>
      </c>
      <c r="AG12" s="163"/>
      <c r="AH12" s="151"/>
      <c r="AI12" s="161"/>
      <c r="AJ12" s="156"/>
      <c r="AK12" s="155"/>
      <c r="AL12" s="156"/>
      <c r="AM12" s="161"/>
      <c r="AN12" s="156"/>
      <c r="AO12" s="155"/>
      <c r="AP12" s="156"/>
      <c r="AQ12" s="155"/>
      <c r="AR12" s="156"/>
      <c r="AS12" s="155"/>
      <c r="AT12" s="156"/>
      <c r="AU12" s="155"/>
      <c r="AV12" s="156"/>
      <c r="AW12" s="155"/>
      <c r="AX12" s="156"/>
      <c r="AY12" s="158"/>
      <c r="AZ12" s="151"/>
      <c r="BA12" s="155"/>
      <c r="BB12" s="156"/>
      <c r="BC12" s="159"/>
      <c r="BD12" s="160"/>
      <c r="BE12" s="189"/>
      <c r="BF12" s="186"/>
    </row>
    <row r="13" spans="1:58" s="31" customFormat="1" ht="12.75">
      <c r="A13" s="100" t="s">
        <v>10</v>
      </c>
      <c r="B13" s="48">
        <v>9</v>
      </c>
      <c r="C13" s="266">
        <v>1.0724805578160926E-2</v>
      </c>
      <c r="D13" s="254">
        <v>372795.71762741334</v>
      </c>
      <c r="E13" s="254">
        <v>357420.64271253918</v>
      </c>
      <c r="F13" s="255">
        <v>165760.3369166684</v>
      </c>
      <c r="G13" s="254">
        <v>144034.48964555768</v>
      </c>
      <c r="H13" s="256">
        <v>641182.19831345382</v>
      </c>
      <c r="I13" s="175">
        <v>132164.43315408425</v>
      </c>
      <c r="J13" s="406">
        <f>$C13*Allocations!$B$16</f>
        <v>615501.00002574816</v>
      </c>
      <c r="K13" s="407">
        <f>$C13*Allocations!$B$24</f>
        <v>124513.6414369455</v>
      </c>
      <c r="L13" s="254">
        <f t="shared" si="8"/>
        <v>2553372.4598324108</v>
      </c>
      <c r="M13" s="175">
        <f t="shared" si="9"/>
        <v>638343.11</v>
      </c>
      <c r="N13" s="264">
        <v>557011.34332297323</v>
      </c>
      <c r="O13" s="271">
        <f t="shared" si="0"/>
        <v>1297025.9847856669</v>
      </c>
      <c r="P13" s="256">
        <f t="shared" si="1"/>
        <v>0</v>
      </c>
      <c r="Q13" s="257">
        <f t="shared" si="2"/>
        <v>0</v>
      </c>
      <c r="R13" s="347"/>
      <c r="S13" s="348"/>
      <c r="T13" s="348">
        <f>Bremer!C10+Bremer!C11</f>
        <v>1831554.85</v>
      </c>
      <c r="U13" s="349">
        <f>Bremer!D10+Bremer!D11</f>
        <v>1831554.85</v>
      </c>
      <c r="V13" s="362">
        <f>'Project Final Cost Tracking'!C12</f>
        <v>-7039.0749999999534</v>
      </c>
      <c r="W13" s="375">
        <f t="shared" si="10"/>
        <v>1304065.0597856669</v>
      </c>
      <c r="X13" s="374">
        <f t="shared" si="3"/>
        <v>2.0428904759161055</v>
      </c>
      <c r="Y13" s="375">
        <f t="shared" si="11"/>
        <v>4634130.9463677891</v>
      </c>
      <c r="Z13" s="376">
        <f t="shared" si="4"/>
        <v>0</v>
      </c>
      <c r="AA13" s="256">
        <f t="shared" si="5"/>
        <v>740014.64146269369</v>
      </c>
      <c r="AB13" s="276">
        <f t="shared" si="12"/>
        <v>1.0724805578160926E-2</v>
      </c>
      <c r="AC13" s="257">
        <f t="shared" si="6"/>
        <v>0</v>
      </c>
      <c r="AD13" s="255">
        <f>$C13*Allocations!$B$16</f>
        <v>615501.00002574816</v>
      </c>
      <c r="AE13" s="259">
        <f>$C13*Allocations!$B$24</f>
        <v>124513.6414369455</v>
      </c>
      <c r="AF13" s="441">
        <f t="shared" si="7"/>
        <v>1304065.0597856669</v>
      </c>
      <c r="AG13" s="163"/>
      <c r="AH13" s="151"/>
      <c r="AI13" s="161"/>
      <c r="AJ13" s="156"/>
      <c r="AK13" s="155"/>
      <c r="AL13" s="156"/>
      <c r="AM13" s="161"/>
      <c r="AN13" s="156"/>
      <c r="AO13" s="155"/>
      <c r="AP13" s="156"/>
      <c r="AQ13" s="155"/>
      <c r="AR13" s="156"/>
      <c r="AS13" s="155"/>
      <c r="AT13" s="156"/>
      <c r="AU13" s="155"/>
      <c r="AV13" s="156"/>
      <c r="AW13" s="155"/>
      <c r="AX13" s="156"/>
      <c r="AY13" s="158"/>
      <c r="AZ13" s="151"/>
      <c r="BA13" s="155"/>
      <c r="BB13" s="156"/>
      <c r="BC13" s="159"/>
      <c r="BD13" s="160"/>
      <c r="BE13" s="189"/>
      <c r="BF13" s="186"/>
    </row>
    <row r="14" spans="1:58" s="31" customFormat="1" ht="12.75">
      <c r="A14" s="101" t="s">
        <v>11</v>
      </c>
      <c r="B14" s="47">
        <v>10</v>
      </c>
      <c r="C14" s="267">
        <v>8.6331889112290696E-3</v>
      </c>
      <c r="D14" s="258">
        <v>348096.60681698093</v>
      </c>
      <c r="E14" s="258">
        <v>338708.84992903518</v>
      </c>
      <c r="F14" s="247">
        <v>157082.40199783084</v>
      </c>
      <c r="G14" s="258">
        <v>136493.95280506791</v>
      </c>
      <c r="H14" s="332">
        <v>514655.55744305119</v>
      </c>
      <c r="I14" s="178">
        <v>106083.98080604179</v>
      </c>
      <c r="J14" s="408">
        <f>$C14*Allocations!$B$16</f>
        <v>495462.25985607883</v>
      </c>
      <c r="K14" s="409">
        <f>$C14*Allocations!$B$24</f>
        <v>100230.23547756669</v>
      </c>
      <c r="L14" s="258">
        <f t="shared" si="8"/>
        <v>2196813.8451316534</v>
      </c>
      <c r="M14" s="178">
        <f t="shared" si="9"/>
        <v>549203.46</v>
      </c>
      <c r="N14" s="265">
        <v>-525880.29647516389</v>
      </c>
      <c r="O14" s="377">
        <f t="shared" si="0"/>
        <v>69812.198858481628</v>
      </c>
      <c r="P14" s="332">
        <f t="shared" si="1"/>
        <v>0</v>
      </c>
      <c r="Q14" s="378">
        <f t="shared" si="2"/>
        <v>0</v>
      </c>
      <c r="R14" s="379"/>
      <c r="S14" s="380"/>
      <c r="T14" s="380"/>
      <c r="U14" s="381"/>
      <c r="V14" s="198">
        <f>'Project Final Cost Tracking'!C13</f>
        <v>0</v>
      </c>
      <c r="W14" s="383">
        <f t="shared" si="10"/>
        <v>69812.198858481628</v>
      </c>
      <c r="X14" s="382">
        <f t="shared" si="3"/>
        <v>0.12711536605847609</v>
      </c>
      <c r="Y14" s="383">
        <f t="shared" si="11"/>
        <v>2750428.4278598865</v>
      </c>
      <c r="Z14" s="384">
        <f t="shared" si="4"/>
        <v>0</v>
      </c>
      <c r="AA14" s="332">
        <f t="shared" si="5"/>
        <v>595692.49533364549</v>
      </c>
      <c r="AB14" s="385">
        <f t="shared" si="12"/>
        <v>8.6331889112290696E-3</v>
      </c>
      <c r="AC14" s="378">
        <f t="shared" si="6"/>
        <v>0</v>
      </c>
      <c r="AD14" s="247">
        <f>$C14*Allocations!$B$16</f>
        <v>495462.25985607883</v>
      </c>
      <c r="AE14" s="260">
        <f>$C14*Allocations!$B$24</f>
        <v>100230.23547756669</v>
      </c>
      <c r="AF14" s="442">
        <f t="shared" si="7"/>
        <v>69812.198858481628</v>
      </c>
      <c r="AG14" s="172"/>
      <c r="AH14" s="169"/>
      <c r="AI14" s="184"/>
      <c r="AJ14" s="167"/>
      <c r="AK14" s="166"/>
      <c r="AL14" s="167"/>
      <c r="AM14" s="184"/>
      <c r="AN14" s="167"/>
      <c r="AO14" s="166"/>
      <c r="AP14" s="167"/>
      <c r="AQ14" s="166"/>
      <c r="AR14" s="167"/>
      <c r="AS14" s="166"/>
      <c r="AT14" s="167"/>
      <c r="AU14" s="166"/>
      <c r="AV14" s="167"/>
      <c r="AW14" s="166"/>
      <c r="AX14" s="167"/>
      <c r="AY14" s="168"/>
      <c r="AZ14" s="169"/>
      <c r="BA14" s="166"/>
      <c r="BB14" s="167"/>
      <c r="BC14" s="170"/>
      <c r="BD14" s="171"/>
      <c r="BE14" s="190"/>
      <c r="BF14" s="186"/>
    </row>
    <row r="15" spans="1:58" s="203" customFormat="1" ht="12.75">
      <c r="A15" s="201" t="s">
        <v>12</v>
      </c>
      <c r="B15" s="202">
        <v>11</v>
      </c>
      <c r="C15" s="266">
        <v>8.3839544677193172E-3</v>
      </c>
      <c r="D15" s="257">
        <v>311983.54423220322</v>
      </c>
      <c r="E15" s="257">
        <v>309375.76937378221</v>
      </c>
      <c r="F15" s="256">
        <v>143478.65130581206</v>
      </c>
      <c r="G15" s="257">
        <v>124673.21616421897</v>
      </c>
      <c r="H15" s="256">
        <v>493078.1585465243</v>
      </c>
      <c r="I15" s="175">
        <v>101636.31413407205</v>
      </c>
      <c r="J15" s="406">
        <f>$C15*Allocations!$B$16</f>
        <v>481158.59270769783</v>
      </c>
      <c r="K15" s="407">
        <f>$C15*Allocations!$B$24</f>
        <v>97336.654991958334</v>
      </c>
      <c r="L15" s="257">
        <f t="shared" si="8"/>
        <v>2062720.9014562687</v>
      </c>
      <c r="M15" s="175">
        <f t="shared" si="9"/>
        <v>515680.23</v>
      </c>
      <c r="N15" s="264">
        <v>1103081.957743461</v>
      </c>
      <c r="O15" s="271">
        <f t="shared" si="0"/>
        <v>1681577.2054431171</v>
      </c>
      <c r="P15" s="256">
        <f t="shared" si="1"/>
        <v>919508.1</v>
      </c>
      <c r="Q15" s="257">
        <f t="shared" si="2"/>
        <v>919508.1</v>
      </c>
      <c r="R15" s="347"/>
      <c r="S15" s="348"/>
      <c r="T15" s="348"/>
      <c r="U15" s="349"/>
      <c r="V15" s="362">
        <f>'Project Final Cost Tracking'!C14</f>
        <v>0</v>
      </c>
      <c r="W15" s="375">
        <f t="shared" si="10"/>
        <v>762069.10544311709</v>
      </c>
      <c r="X15" s="374">
        <f t="shared" si="3"/>
        <v>1.4777939139592711</v>
      </c>
      <c r="Y15" s="375">
        <f t="shared" si="11"/>
        <v>3365297.7200915702</v>
      </c>
      <c r="Z15" s="376">
        <f t="shared" si="4"/>
        <v>0</v>
      </c>
      <c r="AA15" s="256">
        <f t="shared" si="5"/>
        <v>578495.24769965617</v>
      </c>
      <c r="AB15" s="276">
        <f t="shared" si="12"/>
        <v>8.3839544677193172E-3</v>
      </c>
      <c r="AC15" s="257">
        <f t="shared" si="6"/>
        <v>0</v>
      </c>
      <c r="AD15" s="256">
        <f>$C15*Allocations!$B$16</f>
        <v>481158.59270769783</v>
      </c>
      <c r="AE15" s="175">
        <f>$C15*Allocations!$B$24</f>
        <v>97336.654991958334</v>
      </c>
      <c r="AF15" s="441">
        <f t="shared" si="7"/>
        <v>762069.10544311709</v>
      </c>
      <c r="AG15" s="163">
        <f>'Buena Vista'!C4</f>
        <v>919508.1</v>
      </c>
      <c r="AH15" s="151">
        <f>'Buena Vista'!D4</f>
        <v>919508.1</v>
      </c>
      <c r="AI15" s="161"/>
      <c r="AJ15" s="156"/>
      <c r="AK15" s="155"/>
      <c r="AL15" s="156"/>
      <c r="AM15" s="161"/>
      <c r="AN15" s="156"/>
      <c r="AO15" s="155"/>
      <c r="AP15" s="156"/>
      <c r="AQ15" s="155"/>
      <c r="AR15" s="156"/>
      <c r="AS15" s="155"/>
      <c r="AT15" s="156"/>
      <c r="AU15" s="155"/>
      <c r="AV15" s="156"/>
      <c r="AW15" s="155"/>
      <c r="AX15" s="156"/>
      <c r="AY15" s="158"/>
      <c r="AZ15" s="151"/>
      <c r="BA15" s="155"/>
      <c r="BB15" s="156"/>
      <c r="BC15" s="159"/>
      <c r="BD15" s="160"/>
      <c r="BE15" s="189"/>
      <c r="BF15" s="186"/>
    </row>
    <row r="16" spans="1:58" s="31" customFormat="1" ht="12.75">
      <c r="A16" s="100" t="s">
        <v>13</v>
      </c>
      <c r="B16" s="48">
        <v>12</v>
      </c>
      <c r="C16" s="266">
        <v>1.4276903522104702E-2</v>
      </c>
      <c r="D16" s="254">
        <v>540353.1876975043</v>
      </c>
      <c r="E16" s="254">
        <v>477050.31712412665</v>
      </c>
      <c r="F16" s="255">
        <v>221240.77863151516</v>
      </c>
      <c r="G16" s="254">
        <v>192243.23038747214</v>
      </c>
      <c r="H16" s="256">
        <v>836123.12981857476</v>
      </c>
      <c r="I16" s="175">
        <v>172346.86145398562</v>
      </c>
      <c r="J16" s="406">
        <f>$C16*Allocations!$B$16</f>
        <v>819357.36094093649</v>
      </c>
      <c r="K16" s="407">
        <f>$C16*Allocations!$B$24</f>
        <v>165753.05100179181</v>
      </c>
      <c r="L16" s="254">
        <f t="shared" si="8"/>
        <v>3424467.9170559072</v>
      </c>
      <c r="M16" s="175">
        <f t="shared" si="9"/>
        <v>856116.98</v>
      </c>
      <c r="N16" s="264">
        <v>2132596.9418396219</v>
      </c>
      <c r="O16" s="271">
        <f t="shared" si="0"/>
        <v>3117707.3537823502</v>
      </c>
      <c r="P16" s="256">
        <f t="shared" si="1"/>
        <v>3796618.2199999997</v>
      </c>
      <c r="Q16" s="257">
        <f t="shared" si="2"/>
        <v>1916165.284</v>
      </c>
      <c r="R16" s="347"/>
      <c r="S16" s="348"/>
      <c r="T16" s="348"/>
      <c r="U16" s="349"/>
      <c r="V16" s="362">
        <f>'Project Final Cost Tracking'!C15</f>
        <v>1128</v>
      </c>
      <c r="W16" s="375">
        <f t="shared" si="10"/>
        <v>1200414.0697823502</v>
      </c>
      <c r="X16" s="374">
        <f t="shared" si="3"/>
        <v>1.4021612674734594</v>
      </c>
      <c r="Y16" s="375">
        <f t="shared" si="11"/>
        <v>5633410.9235246275</v>
      </c>
      <c r="Z16" s="376">
        <f t="shared" si="4"/>
        <v>0</v>
      </c>
      <c r="AA16" s="256">
        <f t="shared" si="5"/>
        <v>985110.41194272833</v>
      </c>
      <c r="AB16" s="276">
        <f t="shared" si="12"/>
        <v>1.4276903522104704E-2</v>
      </c>
      <c r="AC16" s="257">
        <f t="shared" si="6"/>
        <v>0</v>
      </c>
      <c r="AD16" s="255">
        <f>$C16*Allocations!$B$16</f>
        <v>819357.36094093649</v>
      </c>
      <c r="AE16" s="259">
        <f>$C16*Allocations!$B$24</f>
        <v>165753.05100179181</v>
      </c>
      <c r="AF16" s="441">
        <f t="shared" si="7"/>
        <v>1200414.0697823502</v>
      </c>
      <c r="AG16" s="163"/>
      <c r="AH16" s="151"/>
      <c r="AI16" s="161"/>
      <c r="AJ16" s="156"/>
      <c r="AK16" s="155">
        <f>Butler!C4+Butler!C5</f>
        <v>1446052.05</v>
      </c>
      <c r="AL16" s="156">
        <f>Butler!D4+Butler!D5</f>
        <v>1446052.05</v>
      </c>
      <c r="AM16" s="161"/>
      <c r="AN16" s="156"/>
      <c r="AO16" s="155">
        <f>Butler!C6</f>
        <v>2350566.17</v>
      </c>
      <c r="AP16" s="156">
        <f>Butler!D6</f>
        <v>470113.234</v>
      </c>
      <c r="AQ16" s="155"/>
      <c r="AR16" s="156"/>
      <c r="AS16" s="155"/>
      <c r="AT16" s="156"/>
      <c r="AU16" s="155"/>
      <c r="AV16" s="156"/>
      <c r="AW16" s="155"/>
      <c r="AX16" s="156"/>
      <c r="AY16" s="158"/>
      <c r="AZ16" s="151"/>
      <c r="BA16" s="155"/>
      <c r="BB16" s="156"/>
      <c r="BC16" s="159"/>
      <c r="BD16" s="160"/>
      <c r="BE16" s="189"/>
      <c r="BF16" s="186"/>
    </row>
    <row r="17" spans="1:58" s="31" customFormat="1" ht="12.75">
      <c r="A17" s="100" t="s">
        <v>14</v>
      </c>
      <c r="B17" s="48">
        <v>13</v>
      </c>
      <c r="C17" s="266">
        <v>9.9515166036195386E-3</v>
      </c>
      <c r="D17" s="254">
        <v>235526.63787540147</v>
      </c>
      <c r="E17" s="254">
        <v>253692.94828617244</v>
      </c>
      <c r="F17" s="255">
        <v>117654.72822765865</v>
      </c>
      <c r="G17" s="254">
        <v>102233.97858546175</v>
      </c>
      <c r="H17" s="256">
        <v>388620.1357841139</v>
      </c>
      <c r="I17" s="175">
        <v>80104.781594484521</v>
      </c>
      <c r="J17" s="406">
        <f>$C17*Allocations!$B$16</f>
        <v>571121.62795504939</v>
      </c>
      <c r="K17" s="407">
        <f>$C17*Allocations!$B$24</f>
        <v>115535.85387693079</v>
      </c>
      <c r="L17" s="254">
        <f t="shared" si="8"/>
        <v>1864490.6921852732</v>
      </c>
      <c r="M17" s="175">
        <f t="shared" si="9"/>
        <v>466122.67</v>
      </c>
      <c r="N17" s="264">
        <v>823403.53327889321</v>
      </c>
      <c r="O17" s="271">
        <f t="shared" si="0"/>
        <v>1510061.0151108734</v>
      </c>
      <c r="P17" s="256">
        <f t="shared" si="1"/>
        <v>0</v>
      </c>
      <c r="Q17" s="257">
        <f t="shared" si="2"/>
        <v>0</v>
      </c>
      <c r="R17" s="347">
        <f>Calhoun!C7</f>
        <v>408294.37</v>
      </c>
      <c r="S17" s="348">
        <f>Calhoun!D7</f>
        <v>387529.37</v>
      </c>
      <c r="T17" s="348"/>
      <c r="U17" s="349"/>
      <c r="V17" s="362">
        <f>'Project Final Cost Tracking'!C16</f>
        <v>0</v>
      </c>
      <c r="W17" s="375">
        <f t="shared" si="10"/>
        <v>1510061.0151108734</v>
      </c>
      <c r="X17" s="374">
        <f t="shared" si="3"/>
        <v>3.2396214822824931</v>
      </c>
      <c r="Y17" s="375">
        <f t="shared" si="11"/>
        <v>4600019.6833547838</v>
      </c>
      <c r="Z17" s="376">
        <f t="shared" si="4"/>
        <v>0</v>
      </c>
      <c r="AA17" s="256">
        <f t="shared" si="5"/>
        <v>686657.48183198017</v>
      </c>
      <c r="AB17" s="276">
        <f t="shared" si="12"/>
        <v>9.9515166036195386E-3</v>
      </c>
      <c r="AC17" s="257">
        <f t="shared" si="6"/>
        <v>0</v>
      </c>
      <c r="AD17" s="255">
        <f>$C17*Allocations!$B$16</f>
        <v>571121.62795504939</v>
      </c>
      <c r="AE17" s="259">
        <f>$C17*Allocations!$B$24</f>
        <v>115535.85387693079</v>
      </c>
      <c r="AF17" s="441">
        <f t="shared" si="7"/>
        <v>1510061.0151108734</v>
      </c>
      <c r="AG17" s="163"/>
      <c r="AH17" s="151"/>
      <c r="AI17" s="161"/>
      <c r="AJ17" s="156"/>
      <c r="AK17" s="155"/>
      <c r="AL17" s="156"/>
      <c r="AM17" s="161"/>
      <c r="AN17" s="156"/>
      <c r="AO17" s="155"/>
      <c r="AP17" s="156"/>
      <c r="AQ17" s="155"/>
      <c r="AR17" s="156"/>
      <c r="AS17" s="155"/>
      <c r="AT17" s="156"/>
      <c r="AU17" s="155"/>
      <c r="AV17" s="156"/>
      <c r="AW17" s="155"/>
      <c r="AX17" s="156"/>
      <c r="AY17" s="158"/>
      <c r="AZ17" s="151"/>
      <c r="BA17" s="155"/>
      <c r="BB17" s="156"/>
      <c r="BC17" s="159"/>
      <c r="BD17" s="160"/>
      <c r="BE17" s="189"/>
      <c r="BF17" s="186"/>
    </row>
    <row r="18" spans="1:58" s="31" customFormat="1" ht="12.75">
      <c r="A18" s="100" t="s">
        <v>15</v>
      </c>
      <c r="B18" s="48">
        <v>14</v>
      </c>
      <c r="C18" s="266">
        <v>4.1924902208097074E-3</v>
      </c>
      <c r="D18" s="254">
        <v>218396.02518503138</v>
      </c>
      <c r="E18" s="254">
        <v>163776.43325673896</v>
      </c>
      <c r="F18" s="255">
        <v>75954.305687601824</v>
      </c>
      <c r="G18" s="254">
        <v>65999.13984004641</v>
      </c>
      <c r="H18" s="256">
        <v>241982.79138557796</v>
      </c>
      <c r="I18" s="175">
        <v>49878.986878676849</v>
      </c>
      <c r="J18" s="406">
        <f>$C18*Allocations!$B$16</f>
        <v>240608.73688574985</v>
      </c>
      <c r="K18" s="407">
        <f>$C18*Allocations!$B$24</f>
        <v>48674.28320983288</v>
      </c>
      <c r="L18" s="254">
        <f t="shared" si="8"/>
        <v>1105270.7023292561</v>
      </c>
      <c r="M18" s="175">
        <f t="shared" si="9"/>
        <v>276317.68</v>
      </c>
      <c r="N18" s="264">
        <v>647638.45194025896</v>
      </c>
      <c r="O18" s="271">
        <f t="shared" si="0"/>
        <v>936921.47203584167</v>
      </c>
      <c r="P18" s="256">
        <f t="shared" si="1"/>
        <v>476642.96</v>
      </c>
      <c r="Q18" s="257">
        <f t="shared" si="2"/>
        <v>476642.96</v>
      </c>
      <c r="R18" s="347"/>
      <c r="S18" s="348"/>
      <c r="T18" s="348"/>
      <c r="U18" s="349"/>
      <c r="V18" s="362">
        <f>'Project Final Cost Tracking'!C17</f>
        <v>-2513.7300000000396</v>
      </c>
      <c r="W18" s="375">
        <f t="shared" si="10"/>
        <v>462792.24203584169</v>
      </c>
      <c r="X18" s="374">
        <f t="shared" si="3"/>
        <v>1.6748557024503163</v>
      </c>
      <c r="Y18" s="375">
        <f t="shared" si="11"/>
        <v>1764565.8324659639</v>
      </c>
      <c r="Z18" s="376">
        <f t="shared" si="4"/>
        <v>0</v>
      </c>
      <c r="AA18" s="256">
        <f t="shared" si="5"/>
        <v>289283.0200955827</v>
      </c>
      <c r="AB18" s="276">
        <f t="shared" si="12"/>
        <v>4.1924902208097066E-3</v>
      </c>
      <c r="AC18" s="257">
        <f t="shared" si="6"/>
        <v>0</v>
      </c>
      <c r="AD18" s="255">
        <f>$C18*Allocations!$B$16</f>
        <v>240608.73688574985</v>
      </c>
      <c r="AE18" s="259">
        <f>$C18*Allocations!$B$24</f>
        <v>48674.28320983288</v>
      </c>
      <c r="AF18" s="441">
        <f t="shared" si="7"/>
        <v>462792.24203584169</v>
      </c>
      <c r="AG18" s="163"/>
      <c r="AH18" s="151"/>
      <c r="AI18" s="161">
        <f>Carroll!C5</f>
        <v>476642.96</v>
      </c>
      <c r="AJ18" s="156">
        <f>Carroll!D5</f>
        <v>476642.96</v>
      </c>
      <c r="AK18" s="155"/>
      <c r="AL18" s="156"/>
      <c r="AM18" s="161"/>
      <c r="AN18" s="156"/>
      <c r="AO18" s="155"/>
      <c r="AP18" s="156"/>
      <c r="AQ18" s="155"/>
      <c r="AR18" s="156"/>
      <c r="AS18" s="155"/>
      <c r="AT18" s="156"/>
      <c r="AU18" s="155"/>
      <c r="AV18" s="156"/>
      <c r="AW18" s="155"/>
      <c r="AX18" s="156"/>
      <c r="AY18" s="158"/>
      <c r="AZ18" s="151"/>
      <c r="BA18" s="155"/>
      <c r="BB18" s="156"/>
      <c r="BC18" s="159"/>
      <c r="BD18" s="160"/>
      <c r="BE18" s="189"/>
      <c r="BF18" s="186"/>
    </row>
    <row r="19" spans="1:58" s="31" customFormat="1" ht="12.75">
      <c r="A19" s="101" t="s">
        <v>16</v>
      </c>
      <c r="B19" s="47">
        <v>15</v>
      </c>
      <c r="C19" s="267">
        <v>1.8887163863600166E-2</v>
      </c>
      <c r="D19" s="258">
        <v>635249.25821872859</v>
      </c>
      <c r="E19" s="258">
        <v>657803.52081097534</v>
      </c>
      <c r="F19" s="247">
        <v>305068.37100142863</v>
      </c>
      <c r="G19" s="258">
        <v>265083.72232787067</v>
      </c>
      <c r="H19" s="332">
        <v>1093392.9621616802</v>
      </c>
      <c r="I19" s="178">
        <v>225376.90759174561</v>
      </c>
      <c r="J19" s="408">
        <f>$C19*Allocations!$B$16</f>
        <v>1083942.0967563614</v>
      </c>
      <c r="K19" s="409">
        <f>$C19*Allocations!$B$24</f>
        <v>219277.59267375112</v>
      </c>
      <c r="L19" s="258">
        <f t="shared" si="8"/>
        <v>4485194.4315425428</v>
      </c>
      <c r="M19" s="178">
        <f t="shared" si="9"/>
        <v>1121298.6100000001</v>
      </c>
      <c r="N19" s="265">
        <v>2657755.6828296939</v>
      </c>
      <c r="O19" s="377">
        <f t="shared" si="0"/>
        <v>3960975.3722598064</v>
      </c>
      <c r="P19" s="332">
        <f>AG19+AI19+AK19+AM19+AO19+AQ19+AS19+AU19+AW19+AY19+BA19+BC19+BE19</f>
        <v>4110745.3899999997</v>
      </c>
      <c r="Q19" s="378">
        <f>AH19+AJ19+AL19+AN19+AP19+AR19+AT19+AV19+AX19+AZ19+BB19+BD19+BE19</f>
        <v>4110745.3899999997</v>
      </c>
      <c r="R19" s="379"/>
      <c r="S19" s="380"/>
      <c r="T19" s="380"/>
      <c r="U19" s="381"/>
      <c r="V19" s="198">
        <f>'Project Final Cost Tracking'!C18</f>
        <v>59111.54999999993</v>
      </c>
      <c r="W19" s="383">
        <f t="shared" si="10"/>
        <v>-208881.56774019322</v>
      </c>
      <c r="X19" s="382">
        <f t="shared" si="3"/>
        <v>-0.18628540682859956</v>
      </c>
      <c r="Y19" s="383">
        <f t="shared" si="11"/>
        <v>5655607.0346953124</v>
      </c>
      <c r="Z19" s="384">
        <f t="shared" si="4"/>
        <v>0</v>
      </c>
      <c r="AA19" s="332">
        <f t="shared" si="5"/>
        <v>1303219.6894301125</v>
      </c>
      <c r="AB19" s="385">
        <f t="shared" si="12"/>
        <v>1.8887163863600166E-2</v>
      </c>
      <c r="AC19" s="378">
        <f t="shared" si="6"/>
        <v>0</v>
      </c>
      <c r="AD19" s="247">
        <f>$C19*Allocations!$B$16</f>
        <v>1083942.0967563614</v>
      </c>
      <c r="AE19" s="260">
        <f>$C19*Allocations!$B$24</f>
        <v>219277.59267375112</v>
      </c>
      <c r="AF19" s="442">
        <f t="shared" si="7"/>
        <v>-208881.56774019322</v>
      </c>
      <c r="AG19" s="172">
        <f>Cass!C9+Cass!C10</f>
        <v>2248897.19</v>
      </c>
      <c r="AH19" s="169">
        <f>Cass!D9+Cass!D10</f>
        <v>2248897.19</v>
      </c>
      <c r="AI19" s="184"/>
      <c r="AJ19" s="167"/>
      <c r="AK19" s="166">
        <f>Cass!C11</f>
        <v>1861848.2</v>
      </c>
      <c r="AL19" s="167">
        <f>Cass!D11</f>
        <v>1861848.2</v>
      </c>
      <c r="AM19" s="184"/>
      <c r="AN19" s="167"/>
      <c r="AO19" s="166"/>
      <c r="AP19" s="167"/>
      <c r="AQ19" s="166"/>
      <c r="AR19" s="167"/>
      <c r="AS19" s="166"/>
      <c r="AT19" s="167"/>
      <c r="AU19" s="166"/>
      <c r="AV19" s="167"/>
      <c r="AW19" s="166"/>
      <c r="AX19" s="167"/>
      <c r="AY19" s="166"/>
      <c r="AZ19" s="167"/>
      <c r="BA19" s="166"/>
      <c r="BB19" s="167"/>
      <c r="BC19" s="170"/>
      <c r="BD19" s="171"/>
      <c r="BE19" s="190"/>
      <c r="BF19" s="186"/>
    </row>
    <row r="20" spans="1:58" s="31" customFormat="1" ht="12.75">
      <c r="A20" s="100" t="s">
        <v>17</v>
      </c>
      <c r="B20" s="48">
        <v>16</v>
      </c>
      <c r="C20" s="266">
        <v>1.9024088204236726E-2</v>
      </c>
      <c r="D20" s="254">
        <v>633846.10325752629</v>
      </c>
      <c r="E20" s="254">
        <v>609029.71391900466</v>
      </c>
      <c r="F20" s="255">
        <v>282448.62917072559</v>
      </c>
      <c r="G20" s="254">
        <v>245428.70092104602</v>
      </c>
      <c r="H20" s="256">
        <v>1122082.1036730569</v>
      </c>
      <c r="I20" s="175">
        <v>231290.49055693389</v>
      </c>
      <c r="J20" s="406">
        <f>$C20*Allocations!$B$16</f>
        <v>1091800.2409413976</v>
      </c>
      <c r="K20" s="407">
        <f>$C20*Allocations!$B$24</f>
        <v>220867.26701607465</v>
      </c>
      <c r="L20" s="254">
        <f t="shared" si="8"/>
        <v>4436793.2494557658</v>
      </c>
      <c r="M20" s="175">
        <f t="shared" si="9"/>
        <v>1109198.31</v>
      </c>
      <c r="N20" s="264">
        <v>769406.06090618577</v>
      </c>
      <c r="O20" s="271">
        <f t="shared" si="0"/>
        <v>2082073.568863658</v>
      </c>
      <c r="P20" s="256">
        <f t="shared" si="1"/>
        <v>1385454.4500000002</v>
      </c>
      <c r="Q20" s="257">
        <f t="shared" si="2"/>
        <v>1385454.4500000002</v>
      </c>
      <c r="R20" s="347"/>
      <c r="S20" s="348"/>
      <c r="T20" s="348"/>
      <c r="U20" s="349"/>
      <c r="V20" s="362">
        <f>'Project Final Cost Tracking'!C19</f>
        <v>49359.339999999967</v>
      </c>
      <c r="W20" s="375">
        <f t="shared" si="10"/>
        <v>647259.77886365785</v>
      </c>
      <c r="X20" s="374">
        <f t="shared" si="3"/>
        <v>0.58353837454337432</v>
      </c>
      <c r="Y20" s="375">
        <f t="shared" si="11"/>
        <v>6554263.5646722829</v>
      </c>
      <c r="Z20" s="376">
        <f t="shared" si="4"/>
        <v>0</v>
      </c>
      <c r="AA20" s="256">
        <f t="shared" si="5"/>
        <v>1312667.5079574722</v>
      </c>
      <c r="AB20" s="276">
        <f t="shared" si="12"/>
        <v>1.9024088204236726E-2</v>
      </c>
      <c r="AC20" s="257">
        <f t="shared" si="6"/>
        <v>0</v>
      </c>
      <c r="AD20" s="255">
        <f>$C20*Allocations!$B$16</f>
        <v>1091800.2409413976</v>
      </c>
      <c r="AE20" s="259">
        <f>$C20*Allocations!$B$24</f>
        <v>220867.26701607465</v>
      </c>
      <c r="AF20" s="441">
        <f t="shared" si="7"/>
        <v>647259.77886365785</v>
      </c>
      <c r="AG20" s="163">
        <f>Cedar!C6</f>
        <v>503343.15</v>
      </c>
      <c r="AH20" s="151">
        <f>Cedar!D6</f>
        <v>503343.15</v>
      </c>
      <c r="AI20" s="161">
        <f>Cedar!C7</f>
        <v>882111.3</v>
      </c>
      <c r="AJ20" s="156">
        <f>Cedar!D7</f>
        <v>882111.3</v>
      </c>
      <c r="AK20" s="155"/>
      <c r="AL20" s="156"/>
      <c r="AM20" s="161"/>
      <c r="AN20" s="156"/>
      <c r="AO20" s="155"/>
      <c r="AP20" s="156"/>
      <c r="AQ20" s="155"/>
      <c r="AR20" s="156"/>
      <c r="AS20" s="155"/>
      <c r="AT20" s="156"/>
      <c r="AU20" s="155"/>
      <c r="AV20" s="156"/>
      <c r="AW20" s="155"/>
      <c r="AX20" s="156"/>
      <c r="AY20" s="158"/>
      <c r="AZ20" s="151"/>
      <c r="BA20" s="155"/>
      <c r="BB20" s="156"/>
      <c r="BC20" s="159"/>
      <c r="BD20" s="160"/>
      <c r="BE20" s="189"/>
      <c r="BF20" s="186"/>
    </row>
    <row r="21" spans="1:58" s="31" customFormat="1" ht="12.75">
      <c r="A21" s="100" t="s">
        <v>18</v>
      </c>
      <c r="B21" s="48">
        <v>17</v>
      </c>
      <c r="C21" s="266">
        <v>4.8392906181400838E-3</v>
      </c>
      <c r="D21" s="254">
        <v>226336.84775544121</v>
      </c>
      <c r="E21" s="254">
        <v>214967.60233451426</v>
      </c>
      <c r="F21" s="255">
        <v>99695.143287501516</v>
      </c>
      <c r="G21" s="254">
        <v>86628.317429005358</v>
      </c>
      <c r="H21" s="256">
        <v>297505.27275366831</v>
      </c>
      <c r="I21" s="175">
        <v>61323.623514914994</v>
      </c>
      <c r="J21" s="406">
        <f>$C21*Allocations!$B$16</f>
        <v>277728.87752350344</v>
      </c>
      <c r="K21" s="407">
        <f>$C21*Allocations!$B$24</f>
        <v>56183.554325988487</v>
      </c>
      <c r="L21" s="254">
        <f t="shared" si="8"/>
        <v>1320369.2389245376</v>
      </c>
      <c r="M21" s="175">
        <f t="shared" si="9"/>
        <v>330092.31</v>
      </c>
      <c r="N21" s="264">
        <v>653906.02048874355</v>
      </c>
      <c r="O21" s="271">
        <f t="shared" si="0"/>
        <v>987818.45233823545</v>
      </c>
      <c r="P21" s="256">
        <f t="shared" si="1"/>
        <v>523952.6</v>
      </c>
      <c r="Q21" s="257">
        <f t="shared" si="2"/>
        <v>523952.6</v>
      </c>
      <c r="R21" s="347"/>
      <c r="S21" s="348"/>
      <c r="T21" s="348"/>
      <c r="U21" s="349"/>
      <c r="V21" s="362">
        <f>'Project Final Cost Tracking'!C20</f>
        <v>767.13000000000466</v>
      </c>
      <c r="W21" s="375">
        <f t="shared" si="10"/>
        <v>463098.72233823547</v>
      </c>
      <c r="X21" s="374">
        <f t="shared" si="3"/>
        <v>1.4029370218840769</v>
      </c>
      <c r="Y21" s="375">
        <f t="shared" si="11"/>
        <v>1965704.665660949</v>
      </c>
      <c r="Z21" s="376">
        <f t="shared" si="4"/>
        <v>0</v>
      </c>
      <c r="AA21" s="256">
        <f t="shared" si="5"/>
        <v>333912.4318494919</v>
      </c>
      <c r="AB21" s="276">
        <f t="shared" si="12"/>
        <v>4.839290618140083E-3</v>
      </c>
      <c r="AC21" s="257">
        <f t="shared" si="6"/>
        <v>0</v>
      </c>
      <c r="AD21" s="255">
        <f>$C21*Allocations!$B$16</f>
        <v>277728.87752350344</v>
      </c>
      <c r="AE21" s="259">
        <f>$C21*Allocations!$B$24</f>
        <v>56183.554325988487</v>
      </c>
      <c r="AF21" s="441">
        <f t="shared" si="7"/>
        <v>463098.72233823547</v>
      </c>
      <c r="AG21" s="163"/>
      <c r="AH21" s="151"/>
      <c r="AI21" s="161"/>
      <c r="AJ21" s="156"/>
      <c r="AK21" s="173"/>
      <c r="AL21" s="160"/>
      <c r="AM21" s="161"/>
      <c r="AN21" s="156"/>
      <c r="AO21" s="155"/>
      <c r="AP21" s="156"/>
      <c r="AQ21" s="155"/>
      <c r="AR21" s="156"/>
      <c r="AS21" s="155"/>
      <c r="AT21" s="156"/>
      <c r="AU21" s="155">
        <f>'Cerro Gordo'!C4</f>
        <v>523952.6</v>
      </c>
      <c r="AV21" s="156">
        <f>'Cerro Gordo'!D4</f>
        <v>523952.6</v>
      </c>
      <c r="AW21" s="155"/>
      <c r="AX21" s="156"/>
      <c r="AY21" s="158"/>
      <c r="AZ21" s="151"/>
      <c r="BA21" s="155"/>
      <c r="BB21" s="156"/>
      <c r="BC21" s="159"/>
      <c r="BD21" s="160"/>
      <c r="BE21" s="189"/>
      <c r="BF21" s="186"/>
    </row>
    <row r="22" spans="1:58" s="31" customFormat="1" ht="12.75">
      <c r="A22" s="100" t="s">
        <v>19</v>
      </c>
      <c r="B22" s="48">
        <v>18</v>
      </c>
      <c r="C22" s="266">
        <v>1.1011643148847696E-2</v>
      </c>
      <c r="D22" s="254">
        <v>393314.83403113362</v>
      </c>
      <c r="E22" s="254">
        <v>324572.39382522053</v>
      </c>
      <c r="F22" s="255">
        <v>150526.36284801428</v>
      </c>
      <c r="G22" s="254">
        <v>130797.19946464218</v>
      </c>
      <c r="H22" s="256">
        <v>505974.05810454302</v>
      </c>
      <c r="I22" s="175">
        <v>104294.49656580629</v>
      </c>
      <c r="J22" s="406">
        <f>$C22*Allocations!$B$16</f>
        <v>631962.72609770345</v>
      </c>
      <c r="K22" s="407">
        <f>$C22*Allocations!$B$24</f>
        <v>127843.789491085</v>
      </c>
      <c r="L22" s="254">
        <f t="shared" si="8"/>
        <v>2369285.8604281484</v>
      </c>
      <c r="M22" s="175">
        <f t="shared" si="9"/>
        <v>592321.47</v>
      </c>
      <c r="N22" s="264">
        <v>613626.65172682004</v>
      </c>
      <c r="O22" s="271">
        <f t="shared" si="0"/>
        <v>1373433.1673156086</v>
      </c>
      <c r="P22" s="256">
        <f t="shared" si="1"/>
        <v>0</v>
      </c>
      <c r="Q22" s="257">
        <f t="shared" si="2"/>
        <v>0</v>
      </c>
      <c r="R22" s="347"/>
      <c r="S22" s="348"/>
      <c r="T22" s="348"/>
      <c r="U22" s="349"/>
      <c r="V22" s="362">
        <f>'Project Final Cost Tracking'!C21</f>
        <v>0</v>
      </c>
      <c r="W22" s="375">
        <f t="shared" si="10"/>
        <v>1373433.1673156086</v>
      </c>
      <c r="X22" s="374">
        <f t="shared" si="3"/>
        <v>2.3187293334405195</v>
      </c>
      <c r="Y22" s="375">
        <f t="shared" si="11"/>
        <v>4792562.4874651562</v>
      </c>
      <c r="Z22" s="376">
        <f t="shared" si="4"/>
        <v>0</v>
      </c>
      <c r="AA22" s="256">
        <f t="shared" si="5"/>
        <v>759806.51558878843</v>
      </c>
      <c r="AB22" s="276">
        <f t="shared" si="12"/>
        <v>1.1011643148847696E-2</v>
      </c>
      <c r="AC22" s="257">
        <f t="shared" si="6"/>
        <v>0</v>
      </c>
      <c r="AD22" s="255">
        <f>$C22*Allocations!$B$16</f>
        <v>631962.72609770345</v>
      </c>
      <c r="AE22" s="259">
        <f>$C22*Allocations!$B$24</f>
        <v>127843.789491085</v>
      </c>
      <c r="AF22" s="441">
        <f t="shared" si="7"/>
        <v>1373433.1673156086</v>
      </c>
      <c r="AG22" s="163"/>
      <c r="AH22" s="151"/>
      <c r="AI22" s="161"/>
      <c r="AJ22" s="156"/>
      <c r="AK22" s="155"/>
      <c r="AL22" s="156"/>
      <c r="AM22" s="163"/>
      <c r="AN22" s="151"/>
      <c r="AO22" s="155"/>
      <c r="AP22" s="156"/>
      <c r="AQ22" s="155"/>
      <c r="AR22" s="156"/>
      <c r="AS22" s="155"/>
      <c r="AT22" s="156"/>
      <c r="AU22" s="155"/>
      <c r="AV22" s="156"/>
      <c r="AW22" s="155"/>
      <c r="AX22" s="156"/>
      <c r="AY22" s="158"/>
      <c r="AZ22" s="151"/>
      <c r="BA22" s="155"/>
      <c r="BB22" s="156"/>
      <c r="BC22" s="159"/>
      <c r="BD22" s="160"/>
      <c r="BE22" s="189"/>
      <c r="BF22" s="186"/>
    </row>
    <row r="23" spans="1:58" s="31" customFormat="1" ht="12.75">
      <c r="A23" s="100" t="s">
        <v>20</v>
      </c>
      <c r="B23" s="48">
        <v>19</v>
      </c>
      <c r="C23" s="266">
        <v>1.9261674231525382E-2</v>
      </c>
      <c r="D23" s="254">
        <v>505829.22788712813</v>
      </c>
      <c r="E23" s="254">
        <v>527591.52541043586</v>
      </c>
      <c r="F23" s="255">
        <v>244680.18506907794</v>
      </c>
      <c r="G23" s="254">
        <v>212610.48474172933</v>
      </c>
      <c r="H23" s="256">
        <v>907894.31043739768</v>
      </c>
      <c r="I23" s="175">
        <v>187140.78029364892</v>
      </c>
      <c r="J23" s="406">
        <f>$C23*Allocations!$B$16</f>
        <v>1105435.4006953507</v>
      </c>
      <c r="K23" s="407">
        <f>$C23*Allocations!$B$24</f>
        <v>223625.61085705651</v>
      </c>
      <c r="L23" s="254">
        <f t="shared" si="8"/>
        <v>3914807.5253918255</v>
      </c>
      <c r="M23" s="175">
        <f t="shared" si="9"/>
        <v>978701.88</v>
      </c>
      <c r="N23" s="264">
        <v>805046.46196578559</v>
      </c>
      <c r="O23" s="271">
        <f t="shared" si="0"/>
        <v>2134107.4735181928</v>
      </c>
      <c r="P23" s="256">
        <f t="shared" si="1"/>
        <v>1869899.04</v>
      </c>
      <c r="Q23" s="257">
        <f t="shared" si="2"/>
        <v>1869899.04</v>
      </c>
      <c r="R23" s="347"/>
      <c r="S23" s="348"/>
      <c r="T23" s="348"/>
      <c r="U23" s="349"/>
      <c r="V23" s="362">
        <f>'Project Final Cost Tracking'!C22</f>
        <v>-2883.5099999999802</v>
      </c>
      <c r="W23" s="375">
        <f t="shared" si="10"/>
        <v>267091.94351819274</v>
      </c>
      <c r="X23" s="374">
        <f t="shared" si="3"/>
        <v>0.27290429187506288</v>
      </c>
      <c r="Y23" s="375">
        <f t="shared" si="11"/>
        <v>6247866.4955040244</v>
      </c>
      <c r="Z23" s="376">
        <f t="shared" si="4"/>
        <v>0</v>
      </c>
      <c r="AA23" s="256">
        <f t="shared" si="5"/>
        <v>1329061.0115524072</v>
      </c>
      <c r="AB23" s="276">
        <f t="shared" si="12"/>
        <v>1.9261674231525378E-2</v>
      </c>
      <c r="AC23" s="257">
        <f t="shared" si="6"/>
        <v>0</v>
      </c>
      <c r="AD23" s="255">
        <f>$C23*Allocations!$B$16</f>
        <v>1105435.4006953507</v>
      </c>
      <c r="AE23" s="259">
        <f>$C23*Allocations!$B$24</f>
        <v>223625.61085705651</v>
      </c>
      <c r="AF23" s="441">
        <f t="shared" si="7"/>
        <v>267091.94351819274</v>
      </c>
      <c r="AG23" s="163"/>
      <c r="AH23" s="151"/>
      <c r="AI23" s="161">
        <f>Chickasaw!C9</f>
        <v>1146333.97</v>
      </c>
      <c r="AJ23" s="156">
        <f>Chickasaw!D9</f>
        <v>1146333.97</v>
      </c>
      <c r="AK23" s="174">
        <f>Chickasaw!C10</f>
        <v>723565.07</v>
      </c>
      <c r="AL23" s="175">
        <f>Chickasaw!D10</f>
        <v>723565.07</v>
      </c>
      <c r="AM23" s="161"/>
      <c r="AN23" s="156"/>
      <c r="AO23" s="155"/>
      <c r="AP23" s="156"/>
      <c r="AQ23" s="155"/>
      <c r="AR23" s="156"/>
      <c r="AS23" s="155"/>
      <c r="AT23" s="156"/>
      <c r="AU23" s="155"/>
      <c r="AV23" s="156"/>
      <c r="AW23" s="155"/>
      <c r="AX23" s="156"/>
      <c r="AY23" s="158"/>
      <c r="AZ23" s="151"/>
      <c r="BA23" s="155"/>
      <c r="BB23" s="156"/>
      <c r="BC23" s="159"/>
      <c r="BD23" s="160"/>
      <c r="BE23" s="189"/>
      <c r="BF23" s="187"/>
    </row>
    <row r="24" spans="1:58" s="31" customFormat="1" ht="12.75">
      <c r="A24" s="101" t="s">
        <v>21</v>
      </c>
      <c r="B24" s="47">
        <v>20</v>
      </c>
      <c r="C24" s="267">
        <v>5.5795703561822042E-3</v>
      </c>
      <c r="D24" s="258">
        <v>230350.72715163601</v>
      </c>
      <c r="E24" s="258">
        <v>244682.33688309573</v>
      </c>
      <c r="F24" s="247">
        <v>113475.89297442898</v>
      </c>
      <c r="G24" s="258">
        <v>98602.854191003091</v>
      </c>
      <c r="H24" s="332">
        <v>359830.82811762934</v>
      </c>
      <c r="I24" s="178">
        <v>74170.551763014126</v>
      </c>
      <c r="J24" s="408">
        <f>$C24*Allocations!$B$16</f>
        <v>320213.83594471309</v>
      </c>
      <c r="K24" s="409">
        <f>$C24*Allocations!$B$24</f>
        <v>64778.108809410514</v>
      </c>
      <c r="L24" s="258">
        <f t="shared" si="8"/>
        <v>1506105.1358349309</v>
      </c>
      <c r="M24" s="178">
        <f t="shared" si="9"/>
        <v>376526.28</v>
      </c>
      <c r="N24" s="265">
        <v>-564936.29908565525</v>
      </c>
      <c r="O24" s="377">
        <f t="shared" si="0"/>
        <v>-179944.35433153165</v>
      </c>
      <c r="P24" s="332">
        <f t="shared" si="1"/>
        <v>0</v>
      </c>
      <c r="Q24" s="378">
        <f t="shared" si="2"/>
        <v>0</v>
      </c>
      <c r="R24" s="379"/>
      <c r="S24" s="380"/>
      <c r="T24" s="380"/>
      <c r="U24" s="381"/>
      <c r="V24" s="198">
        <f>'Project Final Cost Tracking'!C23</f>
        <v>106603.72800000003</v>
      </c>
      <c r="W24" s="383">
        <f t="shared" si="10"/>
        <v>-286548.08233153168</v>
      </c>
      <c r="X24" s="382">
        <f t="shared" si="3"/>
        <v>-0.76103076346100373</v>
      </c>
      <c r="Y24" s="383">
        <f t="shared" si="11"/>
        <v>1445915.6690620247</v>
      </c>
      <c r="Z24" s="384">
        <f t="shared" si="4"/>
        <v>0</v>
      </c>
      <c r="AA24" s="332">
        <f t="shared" si="5"/>
        <v>384991.94475412363</v>
      </c>
      <c r="AB24" s="385">
        <f t="shared" si="12"/>
        <v>5.5795703561822042E-3</v>
      </c>
      <c r="AC24" s="378">
        <f t="shared" si="6"/>
        <v>0</v>
      </c>
      <c r="AD24" s="247">
        <f>$C24*Allocations!$B$16</f>
        <v>320213.83594471309</v>
      </c>
      <c r="AE24" s="260">
        <f>$C24*Allocations!$B$24</f>
        <v>64778.108809410514</v>
      </c>
      <c r="AF24" s="442">
        <f t="shared" si="7"/>
        <v>-286548.08233153168</v>
      </c>
      <c r="AG24" s="172"/>
      <c r="AH24" s="169"/>
      <c r="AI24" s="184"/>
      <c r="AJ24" s="167"/>
      <c r="AK24" s="166"/>
      <c r="AL24" s="167"/>
      <c r="AM24" s="184"/>
      <c r="AN24" s="167"/>
      <c r="AO24" s="166"/>
      <c r="AP24" s="167"/>
      <c r="AQ24" s="166"/>
      <c r="AR24" s="167"/>
      <c r="AS24" s="166"/>
      <c r="AT24" s="167"/>
      <c r="AU24" s="166"/>
      <c r="AV24" s="167"/>
      <c r="AW24" s="166"/>
      <c r="AX24" s="167"/>
      <c r="AY24" s="168"/>
      <c r="AZ24" s="169"/>
      <c r="BA24" s="166"/>
      <c r="BB24" s="167"/>
      <c r="BC24" s="170"/>
      <c r="BD24" s="171"/>
      <c r="BE24" s="190"/>
      <c r="BF24" s="186"/>
    </row>
    <row r="25" spans="1:58" s="31" customFormat="1" ht="12.75">
      <c r="A25" s="100" t="s">
        <v>22</v>
      </c>
      <c r="B25" s="48">
        <v>21</v>
      </c>
      <c r="C25" s="266">
        <v>9.4081553671138667E-3</v>
      </c>
      <c r="D25" s="254">
        <v>298647.08376225008</v>
      </c>
      <c r="E25" s="254">
        <v>310781.04636683647</v>
      </c>
      <c r="F25" s="255">
        <v>144130.37412199329</v>
      </c>
      <c r="G25" s="254">
        <v>125239.5190866498</v>
      </c>
      <c r="H25" s="256">
        <v>492063.58162225125</v>
      </c>
      <c r="I25" s="175">
        <v>101427.18327479294</v>
      </c>
      <c r="J25" s="406">
        <f>$C25*Allocations!$B$16</f>
        <v>539937.90327052074</v>
      </c>
      <c r="K25" s="407">
        <f>$C25*Allocations!$B$24</f>
        <v>109227.49838461574</v>
      </c>
      <c r="L25" s="254">
        <f t="shared" si="8"/>
        <v>2121454.1898899102</v>
      </c>
      <c r="M25" s="175">
        <f t="shared" si="9"/>
        <v>530363.55000000005</v>
      </c>
      <c r="N25" s="264">
        <v>219247.86181972639</v>
      </c>
      <c r="O25" s="271">
        <f t="shared" si="0"/>
        <v>868413.26347486291</v>
      </c>
      <c r="P25" s="256">
        <f t="shared" si="1"/>
        <v>0</v>
      </c>
      <c r="Q25" s="257">
        <f t="shared" si="2"/>
        <v>0</v>
      </c>
      <c r="R25" s="347"/>
      <c r="S25" s="348"/>
      <c r="T25" s="348"/>
      <c r="U25" s="349"/>
      <c r="V25" s="362">
        <f>'Project Final Cost Tracking'!C24</f>
        <v>0</v>
      </c>
      <c r="W25" s="375">
        <f t="shared" si="10"/>
        <v>868413.26347486291</v>
      </c>
      <c r="X25" s="374">
        <f t="shared" si="3"/>
        <v>1.637392432935602</v>
      </c>
      <c r="Y25" s="375">
        <f t="shared" si="11"/>
        <v>3789657.5709229773</v>
      </c>
      <c r="Z25" s="376">
        <f t="shared" si="4"/>
        <v>0</v>
      </c>
      <c r="AA25" s="256">
        <f t="shared" si="5"/>
        <v>649165.40165513649</v>
      </c>
      <c r="AB25" s="276">
        <f t="shared" si="12"/>
        <v>9.4081553671138667E-3</v>
      </c>
      <c r="AC25" s="257">
        <f t="shared" si="6"/>
        <v>0</v>
      </c>
      <c r="AD25" s="255">
        <f>$C25*Allocations!$B$16</f>
        <v>539937.90327052074</v>
      </c>
      <c r="AE25" s="259">
        <f>$C25*Allocations!$B$24</f>
        <v>109227.49838461574</v>
      </c>
      <c r="AF25" s="441">
        <f t="shared" si="7"/>
        <v>868413.26347486291</v>
      </c>
      <c r="AG25" s="163"/>
      <c r="AH25" s="151"/>
      <c r="AI25" s="161"/>
      <c r="AJ25" s="156"/>
      <c r="AK25" s="155"/>
      <c r="AL25" s="156"/>
      <c r="AM25" s="161"/>
      <c r="AN25" s="156"/>
      <c r="AO25" s="155"/>
      <c r="AP25" s="156"/>
      <c r="AQ25" s="155"/>
      <c r="AR25" s="156"/>
      <c r="AS25" s="155"/>
      <c r="AT25" s="156"/>
      <c r="AU25" s="155"/>
      <c r="AV25" s="156"/>
      <c r="AW25" s="155"/>
      <c r="AX25" s="156"/>
      <c r="AY25" s="158"/>
      <c r="AZ25" s="151"/>
      <c r="BA25" s="155"/>
      <c r="BB25" s="156"/>
      <c r="BC25" s="159"/>
      <c r="BD25" s="160"/>
      <c r="BE25" s="189"/>
      <c r="BF25" s="186"/>
    </row>
    <row r="26" spans="1:58" s="31" customFormat="1" ht="12.75">
      <c r="A26" s="100" t="s">
        <v>23</v>
      </c>
      <c r="B26" s="48">
        <v>22</v>
      </c>
      <c r="C26" s="266">
        <v>6.0120050647066913E-3</v>
      </c>
      <c r="D26" s="254">
        <v>367990.21575919667</v>
      </c>
      <c r="E26" s="254">
        <v>316414.98476396524</v>
      </c>
      <c r="F26" s="255">
        <v>146743.2157301007</v>
      </c>
      <c r="G26" s="254">
        <v>127509.90122117469</v>
      </c>
      <c r="H26" s="256">
        <v>386644.05411654216</v>
      </c>
      <c r="I26" s="175">
        <v>79697.459441518062</v>
      </c>
      <c r="J26" s="406">
        <f>$C26*Allocations!$B$16</f>
        <v>345031.4415975986</v>
      </c>
      <c r="K26" s="407">
        <f>$C26*Allocations!$B$24</f>
        <v>69798.621288606533</v>
      </c>
      <c r="L26" s="254">
        <f t="shared" si="8"/>
        <v>1839829.8939187028</v>
      </c>
      <c r="M26" s="175">
        <f t="shared" si="9"/>
        <v>459957.47</v>
      </c>
      <c r="N26" s="264">
        <v>992763.65621840116</v>
      </c>
      <c r="O26" s="271">
        <f t="shared" si="0"/>
        <v>1407593.7191046062</v>
      </c>
      <c r="P26" s="256">
        <f t="shared" si="1"/>
        <v>415576</v>
      </c>
      <c r="Q26" s="257">
        <f t="shared" si="2"/>
        <v>415576</v>
      </c>
      <c r="R26" s="347"/>
      <c r="S26" s="348"/>
      <c r="T26" s="348"/>
      <c r="U26" s="349"/>
      <c r="V26" s="362">
        <f>'Project Final Cost Tracking'!C25</f>
        <v>-13601.440000000002</v>
      </c>
      <c r="W26" s="375">
        <f t="shared" si="10"/>
        <v>1005619.1591046061</v>
      </c>
      <c r="X26" s="374">
        <f t="shared" si="3"/>
        <v>2.1863307472854094</v>
      </c>
      <c r="Y26" s="375">
        <f t="shared" si="11"/>
        <v>2872354.4420925295</v>
      </c>
      <c r="Z26" s="376">
        <f t="shared" si="4"/>
        <v>0</v>
      </c>
      <c r="AA26" s="256">
        <f t="shared" si="5"/>
        <v>414830.06288620515</v>
      </c>
      <c r="AB26" s="276">
        <f t="shared" si="12"/>
        <v>6.0120050647066913E-3</v>
      </c>
      <c r="AC26" s="257">
        <f t="shared" si="6"/>
        <v>0</v>
      </c>
      <c r="AD26" s="255">
        <f>$C26*Allocations!$B$16</f>
        <v>345031.4415975986</v>
      </c>
      <c r="AE26" s="259">
        <f>$C26*Allocations!$B$24</f>
        <v>69798.621288606533</v>
      </c>
      <c r="AF26" s="441">
        <f t="shared" si="7"/>
        <v>1005619.1591046061</v>
      </c>
      <c r="AG26" s="163">
        <f>Clayton!C6</f>
        <v>415576</v>
      </c>
      <c r="AH26" s="151">
        <f>Clayton!D6</f>
        <v>415576</v>
      </c>
      <c r="AI26" s="161"/>
      <c r="AJ26" s="156"/>
      <c r="AK26" s="155"/>
      <c r="AL26" s="156"/>
      <c r="AM26" s="161"/>
      <c r="AN26" s="156"/>
      <c r="AO26" s="155"/>
      <c r="AP26" s="156"/>
      <c r="AQ26" s="155"/>
      <c r="AR26" s="156"/>
      <c r="AS26" s="155"/>
      <c r="AT26" s="156"/>
      <c r="AU26" s="155"/>
      <c r="AV26" s="156"/>
      <c r="AW26" s="155"/>
      <c r="AX26" s="156"/>
      <c r="AY26" s="158"/>
      <c r="AZ26" s="151"/>
      <c r="BA26" s="155"/>
      <c r="BB26" s="156"/>
      <c r="BC26" s="159"/>
      <c r="BD26" s="160"/>
      <c r="BE26" s="189"/>
      <c r="BF26" s="186"/>
    </row>
    <row r="27" spans="1:58" s="31" customFormat="1" ht="12.75">
      <c r="A27" s="100" t="s">
        <v>24</v>
      </c>
      <c r="B27" s="48">
        <v>23</v>
      </c>
      <c r="C27" s="266">
        <v>6.7905614205004969E-3</v>
      </c>
      <c r="D27" s="254">
        <v>245942.45575474619</v>
      </c>
      <c r="E27" s="254">
        <v>231787.53687185355</v>
      </c>
      <c r="F27" s="255">
        <v>107495.69446626492</v>
      </c>
      <c r="G27" s="254">
        <v>93406.46731025273</v>
      </c>
      <c r="H27" s="256">
        <v>402457.98911805521</v>
      </c>
      <c r="I27" s="175">
        <v>82957.125353809592</v>
      </c>
      <c r="J27" s="406">
        <f>$C27*Allocations!$B$16</f>
        <v>389713.11084326735</v>
      </c>
      <c r="K27" s="407">
        <f>$C27*Allocations!$B$24</f>
        <v>78837.562481271787</v>
      </c>
      <c r="L27" s="254">
        <f t="shared" si="8"/>
        <v>1632597.9421995212</v>
      </c>
      <c r="M27" s="175">
        <f t="shared" si="9"/>
        <v>408149.49</v>
      </c>
      <c r="N27" s="264">
        <v>571906.31289853202</v>
      </c>
      <c r="O27" s="271">
        <f t="shared" si="0"/>
        <v>1040456.9862230711</v>
      </c>
      <c r="P27" s="256">
        <f t="shared" si="1"/>
        <v>0</v>
      </c>
      <c r="Q27" s="257">
        <f t="shared" si="2"/>
        <v>0</v>
      </c>
      <c r="R27" s="347"/>
      <c r="S27" s="348"/>
      <c r="T27" s="348"/>
      <c r="U27" s="349"/>
      <c r="V27" s="362">
        <f>'Project Final Cost Tracking'!C26</f>
        <v>52390.610000000015</v>
      </c>
      <c r="W27" s="375">
        <f t="shared" si="10"/>
        <v>988066.37622307113</v>
      </c>
      <c r="X27" s="374">
        <f t="shared" si="3"/>
        <v>2.4208443240320383</v>
      </c>
      <c r="Y27" s="375">
        <f t="shared" si="11"/>
        <v>3096544.406183497</v>
      </c>
      <c r="Z27" s="376">
        <f t="shared" si="4"/>
        <v>0</v>
      </c>
      <c r="AA27" s="256">
        <f t="shared" si="5"/>
        <v>468550.67332453915</v>
      </c>
      <c r="AB27" s="276">
        <f t="shared" si="12"/>
        <v>6.7905614205004969E-3</v>
      </c>
      <c r="AC27" s="257">
        <f t="shared" si="6"/>
        <v>0</v>
      </c>
      <c r="AD27" s="255">
        <f>$C27*Allocations!$B$16</f>
        <v>389713.11084326735</v>
      </c>
      <c r="AE27" s="259">
        <f>$C27*Allocations!$B$24</f>
        <v>78837.562481271787</v>
      </c>
      <c r="AF27" s="441">
        <f t="shared" si="7"/>
        <v>988066.37622307113</v>
      </c>
      <c r="AG27" s="163"/>
      <c r="AH27" s="151"/>
      <c r="AI27" s="161"/>
      <c r="AJ27" s="156"/>
      <c r="AK27" s="155"/>
      <c r="AL27" s="156"/>
      <c r="AM27" s="161"/>
      <c r="AN27" s="156"/>
      <c r="AO27" s="155"/>
      <c r="AP27" s="156"/>
      <c r="AQ27" s="155"/>
      <c r="AR27" s="156"/>
      <c r="AS27" s="155"/>
      <c r="AT27" s="156"/>
      <c r="AU27" s="155"/>
      <c r="AV27" s="156"/>
      <c r="AW27" s="155"/>
      <c r="AX27" s="156"/>
      <c r="AY27" s="158"/>
      <c r="AZ27" s="151"/>
      <c r="BA27" s="155"/>
      <c r="BB27" s="156"/>
      <c r="BC27" s="159"/>
      <c r="BD27" s="160"/>
      <c r="BE27" s="189"/>
      <c r="BF27" s="186"/>
    </row>
    <row r="28" spans="1:58" s="31" customFormat="1" ht="12.75">
      <c r="A28" s="100" t="s">
        <v>25</v>
      </c>
      <c r="B28" s="48">
        <v>24</v>
      </c>
      <c r="C28" s="266">
        <v>7.8611925689885728E-3</v>
      </c>
      <c r="D28" s="254">
        <v>416210.89041209436</v>
      </c>
      <c r="E28" s="254">
        <v>346424.44629647082</v>
      </c>
      <c r="F28" s="255">
        <v>160660.650427113</v>
      </c>
      <c r="G28" s="254">
        <v>139603.20798591236</v>
      </c>
      <c r="H28" s="256">
        <v>492522.60387246363</v>
      </c>
      <c r="I28" s="175">
        <v>101521.79977485175</v>
      </c>
      <c r="J28" s="406">
        <f>$C28*Allocations!$B$16</f>
        <v>451157.07248440007</v>
      </c>
      <c r="K28" s="407">
        <f>$C28*Allocations!$B$24</f>
        <v>91267.455215693641</v>
      </c>
      <c r="L28" s="254">
        <f t="shared" si="8"/>
        <v>2199368.1264689993</v>
      </c>
      <c r="M28" s="175">
        <f t="shared" si="9"/>
        <v>549842.03</v>
      </c>
      <c r="N28" s="264">
        <v>-957400.24006335903</v>
      </c>
      <c r="O28" s="271">
        <f t="shared" si="0"/>
        <v>-414975.71236326534</v>
      </c>
      <c r="P28" s="256">
        <f t="shared" si="1"/>
        <v>1158234.6499999999</v>
      </c>
      <c r="Q28" s="257">
        <f t="shared" si="2"/>
        <v>1158234.6499999999</v>
      </c>
      <c r="R28" s="347"/>
      <c r="S28" s="348"/>
      <c r="T28" s="348"/>
      <c r="U28" s="349"/>
      <c r="V28" s="362">
        <f>'Project Final Cost Tracking'!C27</f>
        <v>256.60999999998603</v>
      </c>
      <c r="W28" s="375">
        <f t="shared" si="10"/>
        <v>-1573466.9723632652</v>
      </c>
      <c r="X28" s="374">
        <f t="shared" si="3"/>
        <v>-2.8616709645918941</v>
      </c>
      <c r="Y28" s="375">
        <f t="shared" si="11"/>
        <v>867443.40228715632</v>
      </c>
      <c r="Z28" s="376">
        <f t="shared" si="4"/>
        <v>0</v>
      </c>
      <c r="AA28" s="256">
        <f t="shared" si="5"/>
        <v>542424.52770009369</v>
      </c>
      <c r="AB28" s="276">
        <f t="shared" si="12"/>
        <v>7.8611925689885728E-3</v>
      </c>
      <c r="AC28" s="257">
        <f t="shared" si="6"/>
        <v>0</v>
      </c>
      <c r="AD28" s="255">
        <f>$C28*Allocations!$B$16</f>
        <v>451157.07248440007</v>
      </c>
      <c r="AE28" s="259">
        <f>$C28*Allocations!$B$24</f>
        <v>91267.455215693641</v>
      </c>
      <c r="AF28" s="441">
        <f t="shared" si="7"/>
        <v>-1573466.9723632652</v>
      </c>
      <c r="AG28" s="163"/>
      <c r="AH28" s="151"/>
      <c r="AI28" s="161"/>
      <c r="AJ28" s="156"/>
      <c r="AK28" s="155">
        <f>Crawford!C5</f>
        <v>1158234.6499999999</v>
      </c>
      <c r="AL28" s="156">
        <f>Crawford!D5</f>
        <v>1158234.6499999999</v>
      </c>
      <c r="AM28" s="161"/>
      <c r="AN28" s="156"/>
      <c r="AO28" s="155"/>
      <c r="AP28" s="156"/>
      <c r="AQ28" s="155"/>
      <c r="AR28" s="156"/>
      <c r="AS28" s="155"/>
      <c r="AT28" s="156"/>
      <c r="AU28" s="155"/>
      <c r="AV28" s="156"/>
      <c r="AW28" s="155"/>
      <c r="AX28" s="156"/>
      <c r="AY28" s="158"/>
      <c r="AZ28" s="151"/>
      <c r="BA28" s="155"/>
      <c r="BB28" s="156"/>
      <c r="BC28" s="159"/>
      <c r="BD28" s="160"/>
      <c r="BE28" s="189"/>
      <c r="BF28" s="186"/>
    </row>
    <row r="29" spans="1:58" s="31" customFormat="1" ht="12.75">
      <c r="A29" s="101" t="s">
        <v>26</v>
      </c>
      <c r="B29" s="47">
        <v>25</v>
      </c>
      <c r="C29" s="267">
        <v>6.6304474383522627E-3</v>
      </c>
      <c r="D29" s="258">
        <v>228344.11147820152</v>
      </c>
      <c r="E29" s="258">
        <v>208502.93321600652</v>
      </c>
      <c r="F29" s="247">
        <v>96697.035167595139</v>
      </c>
      <c r="G29" s="258">
        <v>84023.164827451401</v>
      </c>
      <c r="H29" s="332">
        <v>391469.04883427813</v>
      </c>
      <c r="I29" s="178">
        <v>80692.017140590789</v>
      </c>
      <c r="J29" s="408">
        <f>$C29*Allocations!$B$16</f>
        <v>380524.10360093351</v>
      </c>
      <c r="K29" s="409">
        <f>$C29*Allocations!$B$24</f>
        <v>76978.659322892534</v>
      </c>
      <c r="L29" s="258">
        <f t="shared" si="8"/>
        <v>1547231.0735879494</v>
      </c>
      <c r="M29" s="178">
        <f t="shared" si="9"/>
        <v>386807.77</v>
      </c>
      <c r="N29" s="265">
        <v>-100465.3583564983</v>
      </c>
      <c r="O29" s="377">
        <f t="shared" si="0"/>
        <v>357037.40456732776</v>
      </c>
      <c r="P29" s="332">
        <f t="shared" si="1"/>
        <v>0</v>
      </c>
      <c r="Q29" s="378">
        <f t="shared" si="2"/>
        <v>0</v>
      </c>
      <c r="R29" s="379"/>
      <c r="S29" s="380"/>
      <c r="T29" s="380"/>
      <c r="U29" s="381"/>
      <c r="V29" s="198">
        <f>'Project Final Cost Tracking'!C28</f>
        <v>0</v>
      </c>
      <c r="W29" s="383">
        <f t="shared" si="10"/>
        <v>357037.40456732776</v>
      </c>
      <c r="X29" s="382">
        <f t="shared" si="3"/>
        <v>0.92303576158081757</v>
      </c>
      <c r="Y29" s="383">
        <f t="shared" si="11"/>
        <v>2415799.837724545</v>
      </c>
      <c r="Z29" s="384">
        <f t="shared" si="4"/>
        <v>0</v>
      </c>
      <c r="AA29" s="332">
        <f t="shared" si="5"/>
        <v>457502.76292382606</v>
      </c>
      <c r="AB29" s="385">
        <f t="shared" si="12"/>
        <v>6.6304474383522627E-3</v>
      </c>
      <c r="AC29" s="378">
        <f t="shared" si="6"/>
        <v>0</v>
      </c>
      <c r="AD29" s="247">
        <f>$C29*Allocations!$B$16</f>
        <v>380524.10360093351</v>
      </c>
      <c r="AE29" s="260">
        <f>$C29*Allocations!$B$24</f>
        <v>76978.659322892534</v>
      </c>
      <c r="AF29" s="442">
        <f t="shared" si="7"/>
        <v>357037.40456732776</v>
      </c>
      <c r="AG29" s="172"/>
      <c r="AH29" s="169"/>
      <c r="AI29" s="184"/>
      <c r="AJ29" s="167"/>
      <c r="AK29" s="166"/>
      <c r="AL29" s="167"/>
      <c r="AM29" s="184"/>
      <c r="AN29" s="167"/>
      <c r="AO29" s="166"/>
      <c r="AP29" s="167"/>
      <c r="AQ29" s="166"/>
      <c r="AR29" s="167"/>
      <c r="AS29" s="166"/>
      <c r="AT29" s="167"/>
      <c r="AU29" s="166"/>
      <c r="AV29" s="167"/>
      <c r="AW29" s="166"/>
      <c r="AX29" s="167"/>
      <c r="AY29" s="168"/>
      <c r="AZ29" s="169"/>
      <c r="BA29" s="166"/>
      <c r="BB29" s="167"/>
      <c r="BC29" s="170"/>
      <c r="BD29" s="171"/>
      <c r="BE29" s="190"/>
      <c r="BF29" s="186"/>
    </row>
    <row r="30" spans="1:58" s="31" customFormat="1" ht="12.75">
      <c r="A30" s="100" t="s">
        <v>27</v>
      </c>
      <c r="B30" s="48">
        <v>26</v>
      </c>
      <c r="C30" s="266">
        <v>1.2135090162254912E-2</v>
      </c>
      <c r="D30" s="254">
        <v>469335.47704517259</v>
      </c>
      <c r="E30" s="254">
        <v>433750.75678783987</v>
      </c>
      <c r="F30" s="255">
        <v>201159.81840712487</v>
      </c>
      <c r="G30" s="254">
        <v>174794.23799692909</v>
      </c>
      <c r="H30" s="256">
        <v>713786.74049885338</v>
      </c>
      <c r="I30" s="175">
        <v>147130.12962473719</v>
      </c>
      <c r="J30" s="406">
        <f>$C30*Allocations!$B$16</f>
        <v>696437.81193386612</v>
      </c>
      <c r="K30" s="407">
        <f>$C30*Allocations!$B$24</f>
        <v>140886.86776241908</v>
      </c>
      <c r="L30" s="254">
        <f t="shared" si="8"/>
        <v>2977281.8400569418</v>
      </c>
      <c r="M30" s="175">
        <f t="shared" si="9"/>
        <v>744320.46</v>
      </c>
      <c r="N30" s="264">
        <v>211175.34539173683</v>
      </c>
      <c r="O30" s="271">
        <f t="shared" si="0"/>
        <v>1048500.025088022</v>
      </c>
      <c r="P30" s="256">
        <f t="shared" si="1"/>
        <v>0</v>
      </c>
      <c r="Q30" s="257">
        <f t="shared" si="2"/>
        <v>0</v>
      </c>
      <c r="R30" s="347"/>
      <c r="S30" s="348"/>
      <c r="T30" s="348"/>
      <c r="U30" s="349"/>
      <c r="V30" s="362">
        <f>'Project Final Cost Tracking'!C29</f>
        <v>-11302.95000000007</v>
      </c>
      <c r="W30" s="375">
        <f t="shared" si="10"/>
        <v>1059802.9750880222</v>
      </c>
      <c r="X30" s="374">
        <f t="shared" si="3"/>
        <v>1.4238530741020101</v>
      </c>
      <c r="Y30" s="375">
        <f t="shared" si="11"/>
        <v>4827764.0337213054</v>
      </c>
      <c r="Z30" s="376">
        <f t="shared" si="4"/>
        <v>0</v>
      </c>
      <c r="AA30" s="256">
        <f t="shared" si="5"/>
        <v>837324.67969628517</v>
      </c>
      <c r="AB30" s="276">
        <f t="shared" si="12"/>
        <v>1.2135090162254912E-2</v>
      </c>
      <c r="AC30" s="257">
        <f t="shared" si="6"/>
        <v>0</v>
      </c>
      <c r="AD30" s="255">
        <f>$C30*Allocations!$B$16</f>
        <v>696437.81193386612</v>
      </c>
      <c r="AE30" s="259">
        <f>$C30*Allocations!$B$24</f>
        <v>140886.86776241908</v>
      </c>
      <c r="AF30" s="441">
        <f t="shared" si="7"/>
        <v>1059802.9750880222</v>
      </c>
      <c r="AG30" s="163"/>
      <c r="AH30" s="151"/>
      <c r="AI30" s="161"/>
      <c r="AJ30" s="156"/>
      <c r="AK30" s="155"/>
      <c r="AL30" s="156"/>
      <c r="AM30" s="161"/>
      <c r="AN30" s="156"/>
      <c r="AO30" s="155"/>
      <c r="AP30" s="156"/>
      <c r="AQ30" s="155"/>
      <c r="AR30" s="156"/>
      <c r="AS30" s="155"/>
      <c r="AT30" s="156"/>
      <c r="AU30" s="155"/>
      <c r="AV30" s="156"/>
      <c r="AW30" s="155"/>
      <c r="AX30" s="156"/>
      <c r="AY30" s="158"/>
      <c r="AZ30" s="151"/>
      <c r="BA30" s="155"/>
      <c r="BB30" s="156"/>
      <c r="BC30" s="159"/>
      <c r="BD30" s="160"/>
      <c r="BE30" s="189"/>
      <c r="BF30" s="186"/>
    </row>
    <row r="31" spans="1:58" s="31" customFormat="1" ht="12.75">
      <c r="A31" s="100" t="s">
        <v>28</v>
      </c>
      <c r="B31" s="48">
        <v>27</v>
      </c>
      <c r="C31" s="266">
        <v>1.6361265343357943E-2</v>
      </c>
      <c r="D31" s="254">
        <v>532641.21051338513</v>
      </c>
      <c r="E31" s="254">
        <v>528361.62893417943</v>
      </c>
      <c r="F31" s="255">
        <v>245037.33461306526</v>
      </c>
      <c r="G31" s="254">
        <v>212920.82347083811</v>
      </c>
      <c r="H31" s="256">
        <v>765290.18201941228</v>
      </c>
      <c r="I31" s="175">
        <v>157746.33695543651</v>
      </c>
      <c r="J31" s="406">
        <f>$C31*Allocations!$B$16</f>
        <v>938979.74253536842</v>
      </c>
      <c r="K31" s="407">
        <f>$C31*Allocations!$B$24</f>
        <v>189952.22911695245</v>
      </c>
      <c r="L31" s="254">
        <f t="shared" si="8"/>
        <v>3570929.4881586377</v>
      </c>
      <c r="M31" s="175">
        <f t="shared" si="9"/>
        <v>892732.37</v>
      </c>
      <c r="N31" s="264">
        <v>1938408.2221990034</v>
      </c>
      <c r="O31" s="271">
        <f t="shared" si="0"/>
        <v>3067340.1938513243</v>
      </c>
      <c r="P31" s="256">
        <f t="shared" si="1"/>
        <v>1473827.4</v>
      </c>
      <c r="Q31" s="257">
        <f t="shared" si="2"/>
        <v>1473827.4</v>
      </c>
      <c r="R31" s="347"/>
      <c r="S31" s="348"/>
      <c r="T31" s="348"/>
      <c r="U31" s="349"/>
      <c r="V31" s="362">
        <f>'Project Final Cost Tracking'!C30</f>
        <v>5134.4000000000233</v>
      </c>
      <c r="W31" s="375">
        <f t="shared" si="10"/>
        <v>1588378.3938513245</v>
      </c>
      <c r="X31" s="374">
        <f t="shared" si="3"/>
        <v>1.779232441018493</v>
      </c>
      <c r="Y31" s="375">
        <f t="shared" si="11"/>
        <v>6668572.266286768</v>
      </c>
      <c r="Z31" s="376">
        <f t="shared" si="4"/>
        <v>0</v>
      </c>
      <c r="AA31" s="256">
        <f t="shared" si="5"/>
        <v>1128931.9716523208</v>
      </c>
      <c r="AB31" s="276">
        <f t="shared" si="12"/>
        <v>1.6361265343357943E-2</v>
      </c>
      <c r="AC31" s="257">
        <f t="shared" si="6"/>
        <v>0</v>
      </c>
      <c r="AD31" s="255">
        <f>$C31*Allocations!$B$16</f>
        <v>938979.74253536842</v>
      </c>
      <c r="AE31" s="259">
        <f>$C31*Allocations!$B$24</f>
        <v>189952.22911695245</v>
      </c>
      <c r="AF31" s="441">
        <f t="shared" si="7"/>
        <v>1588378.3938513245</v>
      </c>
      <c r="AG31" s="163">
        <f>Decatur!C7</f>
        <v>943792.4</v>
      </c>
      <c r="AH31" s="151">
        <f>Decatur!D7</f>
        <v>943792.4</v>
      </c>
      <c r="AI31" s="161">
        <f>Decatur!C8</f>
        <v>530035</v>
      </c>
      <c r="AJ31" s="156">
        <f>Decatur!D8</f>
        <v>530035</v>
      </c>
      <c r="AK31" s="155"/>
      <c r="AL31" s="175"/>
      <c r="AM31" s="161"/>
      <c r="AN31" s="156"/>
      <c r="AO31" s="155"/>
      <c r="AP31" s="156"/>
      <c r="AQ31" s="155"/>
      <c r="AR31" s="156"/>
      <c r="AS31" s="155"/>
      <c r="AT31" s="156"/>
      <c r="AU31" s="155"/>
      <c r="AV31" s="156"/>
      <c r="AW31" s="155"/>
      <c r="AX31" s="156"/>
      <c r="AY31" s="158"/>
      <c r="AZ31" s="151"/>
      <c r="BA31" s="155"/>
      <c r="BB31" s="156"/>
      <c r="BC31" s="159"/>
      <c r="BD31" s="160"/>
      <c r="BE31" s="189"/>
      <c r="BF31" s="186"/>
    </row>
    <row r="32" spans="1:58" s="31" customFormat="1" ht="12.75">
      <c r="A32" s="100" t="s">
        <v>29</v>
      </c>
      <c r="B32" s="48">
        <v>28</v>
      </c>
      <c r="C32" s="266">
        <v>5.5217017585742299E-3</v>
      </c>
      <c r="D32" s="254">
        <v>254647.40917031432</v>
      </c>
      <c r="E32" s="254">
        <v>228169.51060621248</v>
      </c>
      <c r="F32" s="255">
        <v>105817.76884838629</v>
      </c>
      <c r="G32" s="254">
        <v>91948.463758076949</v>
      </c>
      <c r="H32" s="256">
        <v>320493.22923441563</v>
      </c>
      <c r="I32" s="175">
        <v>66062.043024440194</v>
      </c>
      <c r="J32" s="406">
        <f>$C32*Allocations!$B$16</f>
        <v>316892.73334399785</v>
      </c>
      <c r="K32" s="407">
        <f>$C32*Allocations!$B$24</f>
        <v>64106.261682625227</v>
      </c>
      <c r="L32" s="254">
        <f t="shared" si="8"/>
        <v>1448137.4196684689</v>
      </c>
      <c r="M32" s="175">
        <f t="shared" si="9"/>
        <v>362034.35</v>
      </c>
      <c r="N32" s="264">
        <v>-1056336.8050119074</v>
      </c>
      <c r="O32" s="271">
        <f t="shared" si="0"/>
        <v>-675337.80998528423</v>
      </c>
      <c r="P32" s="256">
        <f t="shared" si="1"/>
        <v>0</v>
      </c>
      <c r="Q32" s="257">
        <f t="shared" si="2"/>
        <v>0</v>
      </c>
      <c r="R32" s="347"/>
      <c r="S32" s="348"/>
      <c r="T32" s="348"/>
      <c r="U32" s="349"/>
      <c r="V32" s="362">
        <f>'Project Final Cost Tracking'!C31</f>
        <v>-12522.329999999958</v>
      </c>
      <c r="W32" s="375">
        <f t="shared" si="10"/>
        <v>-662815.47998528427</v>
      </c>
      <c r="X32" s="374">
        <f t="shared" si="3"/>
        <v>-1.8308082644237607</v>
      </c>
      <c r="Y32" s="375">
        <f t="shared" si="11"/>
        <v>1051679.9976345194</v>
      </c>
      <c r="Z32" s="376">
        <f t="shared" si="4"/>
        <v>0</v>
      </c>
      <c r="AA32" s="256">
        <f t="shared" si="5"/>
        <v>380998.99502662307</v>
      </c>
      <c r="AB32" s="276">
        <f t="shared" si="12"/>
        <v>5.5217017585742299E-3</v>
      </c>
      <c r="AC32" s="257">
        <f t="shared" si="6"/>
        <v>0</v>
      </c>
      <c r="AD32" s="255">
        <f>$C32*Allocations!$B$16</f>
        <v>316892.73334399785</v>
      </c>
      <c r="AE32" s="259">
        <f>$C32*Allocations!$B$24</f>
        <v>64106.261682625227</v>
      </c>
      <c r="AF32" s="441">
        <f t="shared" si="7"/>
        <v>-662815.47998528427</v>
      </c>
      <c r="AG32" s="163"/>
      <c r="AH32" s="151"/>
      <c r="AI32" s="161"/>
      <c r="AJ32" s="156"/>
      <c r="AK32" s="155"/>
      <c r="AL32" s="156"/>
      <c r="AM32" s="161"/>
      <c r="AN32" s="191"/>
      <c r="AO32" s="155"/>
      <c r="AP32" s="156"/>
      <c r="AQ32" s="155"/>
      <c r="AR32" s="156"/>
      <c r="AS32" s="155"/>
      <c r="AT32" s="156"/>
      <c r="AU32" s="155"/>
      <c r="AV32" s="156"/>
      <c r="AW32" s="155"/>
      <c r="AX32" s="156"/>
      <c r="AY32" s="158"/>
      <c r="AZ32" s="151"/>
      <c r="BA32" s="155"/>
      <c r="BB32" s="156"/>
      <c r="BC32" s="159"/>
      <c r="BD32" s="160"/>
      <c r="BE32" s="189"/>
      <c r="BF32" s="186"/>
    </row>
    <row r="33" spans="1:58" s="31" customFormat="1" ht="12.75">
      <c r="A33" s="100" t="s">
        <v>30</v>
      </c>
      <c r="B33" s="48">
        <v>29</v>
      </c>
      <c r="C33" s="266">
        <v>8.2802384689493295E-3</v>
      </c>
      <c r="D33" s="254">
        <v>308344.01746626</v>
      </c>
      <c r="E33" s="254">
        <v>324999.88501691638</v>
      </c>
      <c r="F33" s="255">
        <v>150724.61967903175</v>
      </c>
      <c r="G33" s="254">
        <v>130969.47120350033</v>
      </c>
      <c r="H33" s="256">
        <v>502640.13192067639</v>
      </c>
      <c r="I33" s="175">
        <v>103607.28711827747</v>
      </c>
      <c r="J33" s="406">
        <f>$C33*Allocations!$B$16</f>
        <v>475206.28891101276</v>
      </c>
      <c r="K33" s="407">
        <f>$C33*Allocations!$B$24</f>
        <v>96132.52531445463</v>
      </c>
      <c r="L33" s="254">
        <f t="shared" si="8"/>
        <v>2092624.2266301299</v>
      </c>
      <c r="M33" s="175">
        <f t="shared" si="9"/>
        <v>523156.06</v>
      </c>
      <c r="N33" s="264">
        <v>-465086.06688044837</v>
      </c>
      <c r="O33" s="271">
        <f t="shared" si="0"/>
        <v>106252.74734501902</v>
      </c>
      <c r="P33" s="256">
        <f t="shared" si="1"/>
        <v>0</v>
      </c>
      <c r="Q33" s="257">
        <f t="shared" si="2"/>
        <v>0</v>
      </c>
      <c r="R33" s="347"/>
      <c r="S33" s="348"/>
      <c r="T33" s="348"/>
      <c r="U33" s="349"/>
      <c r="V33" s="362">
        <f>'Project Final Cost Tracking'!C32</f>
        <v>-31537.470000000205</v>
      </c>
      <c r="W33" s="375">
        <f t="shared" si="10"/>
        <v>137790.21734501922</v>
      </c>
      <c r="X33" s="374">
        <f t="shared" si="3"/>
        <v>0.26338262686858527</v>
      </c>
      <c r="Y33" s="375">
        <f t="shared" si="11"/>
        <v>2708814.8813596223</v>
      </c>
      <c r="Z33" s="376">
        <f t="shared" si="4"/>
        <v>0</v>
      </c>
      <c r="AA33" s="256">
        <f t="shared" si="5"/>
        <v>571338.81422546739</v>
      </c>
      <c r="AB33" s="276">
        <f t="shared" si="12"/>
        <v>8.2802384689493295E-3</v>
      </c>
      <c r="AC33" s="257">
        <f t="shared" si="6"/>
        <v>0</v>
      </c>
      <c r="AD33" s="255">
        <f>$C33*Allocations!$B$16</f>
        <v>475206.28891101276</v>
      </c>
      <c r="AE33" s="259">
        <f>$C33*Allocations!$B$24</f>
        <v>96132.52531445463</v>
      </c>
      <c r="AF33" s="441">
        <f t="shared" si="7"/>
        <v>137790.21734501922</v>
      </c>
      <c r="AG33" s="163"/>
      <c r="AH33" s="151"/>
      <c r="AI33" s="161"/>
      <c r="AJ33" s="156"/>
      <c r="AK33" s="155"/>
      <c r="AL33" s="156"/>
      <c r="AM33" s="161"/>
      <c r="AN33" s="156"/>
      <c r="AO33" s="155"/>
      <c r="AP33" s="156"/>
      <c r="AQ33" s="155"/>
      <c r="AR33" s="156"/>
      <c r="AS33" s="155"/>
      <c r="AT33" s="156"/>
      <c r="AU33" s="155"/>
      <c r="AV33" s="156"/>
      <c r="AW33" s="155"/>
      <c r="AX33" s="156"/>
      <c r="AY33" s="158"/>
      <c r="AZ33" s="151"/>
      <c r="BA33" s="155"/>
      <c r="BB33" s="156"/>
      <c r="BC33" s="159"/>
      <c r="BD33" s="160"/>
      <c r="BE33" s="189"/>
      <c r="BF33" s="186"/>
    </row>
    <row r="34" spans="1:58" s="31" customFormat="1" ht="12.75">
      <c r="A34" s="101" t="s">
        <v>31</v>
      </c>
      <c r="B34" s="47">
        <v>30</v>
      </c>
      <c r="C34" s="267">
        <v>5.0269948120518189E-3</v>
      </c>
      <c r="D34" s="258">
        <v>137094.75588741578</v>
      </c>
      <c r="E34" s="258">
        <v>219538.96598884786</v>
      </c>
      <c r="F34" s="247">
        <v>101815.19649360685</v>
      </c>
      <c r="G34" s="258">
        <v>88470.4998668724</v>
      </c>
      <c r="H34" s="332">
        <v>293835.90340709774</v>
      </c>
      <c r="I34" s="178">
        <v>60567.270451779281</v>
      </c>
      <c r="J34" s="408">
        <f>$C34*Allocations!$B$16</f>
        <v>288501.29835852166</v>
      </c>
      <c r="K34" s="409">
        <f>$C34*Allocations!$B$24</f>
        <v>58362.776366575301</v>
      </c>
      <c r="L34" s="258">
        <f t="shared" si="8"/>
        <v>1248186.6668207168</v>
      </c>
      <c r="M34" s="178">
        <f t="shared" si="9"/>
        <v>312046.67</v>
      </c>
      <c r="N34" s="265">
        <v>-99268.100653874542</v>
      </c>
      <c r="O34" s="377">
        <f t="shared" si="0"/>
        <v>247595.97407122242</v>
      </c>
      <c r="P34" s="332">
        <f t="shared" si="1"/>
        <v>0</v>
      </c>
      <c r="Q34" s="378">
        <f t="shared" si="2"/>
        <v>0</v>
      </c>
      <c r="R34" s="379"/>
      <c r="S34" s="380"/>
      <c r="T34" s="380"/>
      <c r="U34" s="381"/>
      <c r="V34" s="198">
        <f>'Project Final Cost Tracking'!C33</f>
        <v>0</v>
      </c>
      <c r="W34" s="383">
        <f t="shared" si="10"/>
        <v>247595.97407122242</v>
      </c>
      <c r="X34" s="382">
        <f t="shared" si="3"/>
        <v>0.79345815185665158</v>
      </c>
      <c r="Y34" s="383">
        <f t="shared" si="11"/>
        <v>1808484.3103341586</v>
      </c>
      <c r="Z34" s="384">
        <f t="shared" si="4"/>
        <v>0</v>
      </c>
      <c r="AA34" s="332">
        <f t="shared" si="5"/>
        <v>346864.07472509693</v>
      </c>
      <c r="AB34" s="385">
        <f t="shared" si="12"/>
        <v>5.0269948120518189E-3</v>
      </c>
      <c r="AC34" s="378">
        <f t="shared" si="6"/>
        <v>0</v>
      </c>
      <c r="AD34" s="247">
        <f>$C34*Allocations!$B$16</f>
        <v>288501.29835852166</v>
      </c>
      <c r="AE34" s="260">
        <f>$C34*Allocations!$B$24</f>
        <v>58362.776366575301</v>
      </c>
      <c r="AF34" s="442">
        <f t="shared" si="7"/>
        <v>247595.97407122242</v>
      </c>
      <c r="AG34" s="172"/>
      <c r="AH34" s="169"/>
      <c r="AI34" s="184"/>
      <c r="AJ34" s="167"/>
      <c r="AK34" s="166"/>
      <c r="AL34" s="167"/>
      <c r="AM34" s="184"/>
      <c r="AN34" s="167"/>
      <c r="AO34" s="166"/>
      <c r="AP34" s="167"/>
      <c r="AQ34" s="166"/>
      <c r="AR34" s="167"/>
      <c r="AS34" s="166"/>
      <c r="AT34" s="167"/>
      <c r="AU34" s="166"/>
      <c r="AV34" s="167"/>
      <c r="AW34" s="166"/>
      <c r="AX34" s="167"/>
      <c r="AY34" s="168"/>
      <c r="AZ34" s="169"/>
      <c r="BA34" s="166"/>
      <c r="BB34" s="167"/>
      <c r="BC34" s="170"/>
      <c r="BD34" s="171"/>
      <c r="BE34" s="190"/>
      <c r="BF34" s="186"/>
    </row>
    <row r="35" spans="1:58" s="31" customFormat="1" ht="12.75">
      <c r="A35" s="100" t="s">
        <v>32</v>
      </c>
      <c r="B35" s="48">
        <v>31</v>
      </c>
      <c r="C35" s="266">
        <v>8.4148709327074231E-3</v>
      </c>
      <c r="D35" s="254">
        <v>344958.10116744321</v>
      </c>
      <c r="E35" s="254">
        <v>347566.68370961735</v>
      </c>
      <c r="F35" s="255">
        <v>161190.38384431318</v>
      </c>
      <c r="G35" s="254">
        <v>140063.51039488357</v>
      </c>
      <c r="H35" s="256">
        <v>541935.48126711824</v>
      </c>
      <c r="I35" s="175">
        <v>111707.08712149791</v>
      </c>
      <c r="J35" s="406">
        <f>$C35*Allocations!$B$16</f>
        <v>482932.90134003235</v>
      </c>
      <c r="K35" s="407">
        <f>$C35*Allocations!$B$24</f>
        <v>97695.591254995656</v>
      </c>
      <c r="L35" s="254">
        <f t="shared" si="8"/>
        <v>2228049.7400999013</v>
      </c>
      <c r="M35" s="175">
        <f t="shared" si="9"/>
        <v>557012.43999999994</v>
      </c>
      <c r="N35" s="264">
        <v>-1121257.9018111504</v>
      </c>
      <c r="O35" s="271">
        <f t="shared" si="0"/>
        <v>-540629.40921612235</v>
      </c>
      <c r="P35" s="256">
        <f t="shared" si="1"/>
        <v>787031.5</v>
      </c>
      <c r="Q35" s="257">
        <f t="shared" si="2"/>
        <v>787031.5</v>
      </c>
      <c r="R35" s="347"/>
      <c r="S35" s="348"/>
      <c r="T35" s="348"/>
      <c r="U35" s="349"/>
      <c r="V35" s="362">
        <f>'Project Final Cost Tracking'!C34</f>
        <v>-1349.0999999999767</v>
      </c>
      <c r="W35" s="375">
        <f t="shared" si="10"/>
        <v>-1326311.8092161221</v>
      </c>
      <c r="X35" s="374">
        <f t="shared" si="3"/>
        <v>-2.3811170343271368</v>
      </c>
      <c r="Y35" s="375">
        <f t="shared" si="11"/>
        <v>1286516.407461504</v>
      </c>
      <c r="Z35" s="376">
        <f t="shared" si="4"/>
        <v>0</v>
      </c>
      <c r="AA35" s="256">
        <f t="shared" si="5"/>
        <v>580628.49259502802</v>
      </c>
      <c r="AB35" s="276">
        <f t="shared" si="12"/>
        <v>8.4148709327074231E-3</v>
      </c>
      <c r="AC35" s="257">
        <f t="shared" si="6"/>
        <v>0</v>
      </c>
      <c r="AD35" s="255">
        <f>$C35*Allocations!$B$16</f>
        <v>482932.90134003235</v>
      </c>
      <c r="AE35" s="259">
        <f>$C35*Allocations!$B$24</f>
        <v>97695.591254995656</v>
      </c>
      <c r="AF35" s="441">
        <f t="shared" si="7"/>
        <v>-1326311.8092161221</v>
      </c>
      <c r="AG35" s="163"/>
      <c r="AH35" s="151"/>
      <c r="AI35" s="161"/>
      <c r="AJ35" s="156"/>
      <c r="AK35" s="155"/>
      <c r="AL35" s="156"/>
      <c r="AM35" s="161"/>
      <c r="AN35" s="156"/>
      <c r="AO35" s="155"/>
      <c r="AP35" s="156"/>
      <c r="AQ35" s="155"/>
      <c r="AR35" s="156"/>
      <c r="AS35" s="155"/>
      <c r="AT35" s="156"/>
      <c r="AU35" s="155">
        <f>Dubuque!C4+Dubuque!C5</f>
        <v>787031.5</v>
      </c>
      <c r="AV35" s="156">
        <f>Dubuque!D4+Dubuque!D5</f>
        <v>787031.5</v>
      </c>
      <c r="AW35" s="155"/>
      <c r="AX35" s="156"/>
      <c r="AY35" s="158"/>
      <c r="AZ35" s="151"/>
      <c r="BA35" s="155"/>
      <c r="BB35" s="156"/>
      <c r="BC35" s="159"/>
      <c r="BD35" s="160"/>
      <c r="BE35" s="189"/>
      <c r="BF35" s="186"/>
    </row>
    <row r="36" spans="1:58" s="31" customFormat="1" ht="12.75">
      <c r="A36" s="100" t="s">
        <v>33</v>
      </c>
      <c r="B36" s="48">
        <v>32</v>
      </c>
      <c r="C36" s="266">
        <v>2.7084013784689988E-3</v>
      </c>
      <c r="D36" s="254">
        <v>184006.47642129703</v>
      </c>
      <c r="E36" s="254">
        <v>123851.34048428496</v>
      </c>
      <c r="F36" s="255">
        <v>57438.316294359516</v>
      </c>
      <c r="G36" s="254">
        <v>49910.000953468574</v>
      </c>
      <c r="H36" s="256">
        <v>157838.05583540542</v>
      </c>
      <c r="I36" s="175">
        <v>32534.554506503911</v>
      </c>
      <c r="J36" s="406">
        <f>$C36*Allocations!$B$16</f>
        <v>155436.26826330239</v>
      </c>
      <c r="K36" s="407">
        <f>$C36*Allocations!$B$24</f>
        <v>31444.198745451387</v>
      </c>
      <c r="L36" s="254">
        <f t="shared" si="8"/>
        <v>792459.21150407312</v>
      </c>
      <c r="M36" s="175">
        <f t="shared" si="9"/>
        <v>198114.8</v>
      </c>
      <c r="N36" s="264">
        <v>-26144.258898045846</v>
      </c>
      <c r="O36" s="271">
        <f t="shared" si="0"/>
        <v>160736.20811070793</v>
      </c>
      <c r="P36" s="256">
        <f t="shared" si="1"/>
        <v>0</v>
      </c>
      <c r="Q36" s="257">
        <f t="shared" si="2"/>
        <v>0</v>
      </c>
      <c r="R36" s="347"/>
      <c r="S36" s="348"/>
      <c r="T36" s="348"/>
      <c r="U36" s="349"/>
      <c r="V36" s="362">
        <f>'Project Final Cost Tracking'!C35</f>
        <v>0</v>
      </c>
      <c r="W36" s="375">
        <f t="shared" si="10"/>
        <v>160736.20811070793</v>
      </c>
      <c r="X36" s="374">
        <f t="shared" si="3"/>
        <v>0.81132862416491824</v>
      </c>
      <c r="Y36" s="375">
        <f t="shared" si="11"/>
        <v>1001698.3096501</v>
      </c>
      <c r="Z36" s="376">
        <f t="shared" si="4"/>
        <v>0</v>
      </c>
      <c r="AA36" s="256">
        <f t="shared" si="5"/>
        <v>186880.4670087538</v>
      </c>
      <c r="AB36" s="276">
        <f t="shared" si="12"/>
        <v>2.7084013784689992E-3</v>
      </c>
      <c r="AC36" s="257">
        <f t="shared" si="6"/>
        <v>0</v>
      </c>
      <c r="AD36" s="255">
        <f>$C36*Allocations!$B$16</f>
        <v>155436.26826330239</v>
      </c>
      <c r="AE36" s="259">
        <f>$C36*Allocations!$B$24</f>
        <v>31444.198745451387</v>
      </c>
      <c r="AF36" s="441">
        <f t="shared" si="7"/>
        <v>160736.20811070793</v>
      </c>
      <c r="AG36" s="163"/>
      <c r="AH36" s="151"/>
      <c r="AI36" s="161"/>
      <c r="AJ36" s="156"/>
      <c r="AK36" s="155"/>
      <c r="AL36" s="156"/>
      <c r="AM36" s="161"/>
      <c r="AN36" s="156"/>
      <c r="AO36" s="155"/>
      <c r="AP36" s="156"/>
      <c r="AQ36" s="192"/>
      <c r="AR36" s="156"/>
      <c r="AS36" s="155"/>
      <c r="AT36" s="156"/>
      <c r="AU36" s="155"/>
      <c r="AV36" s="156"/>
      <c r="AW36" s="155"/>
      <c r="AX36" s="156"/>
      <c r="AY36" s="158"/>
      <c r="AZ36" s="151"/>
      <c r="BA36" s="155"/>
      <c r="BB36" s="156"/>
      <c r="BC36" s="159"/>
      <c r="BD36" s="160"/>
      <c r="BE36" s="189"/>
      <c r="BF36" s="186"/>
    </row>
    <row r="37" spans="1:58" s="31" customFormat="1" ht="12.75">
      <c r="A37" s="100" t="s">
        <v>34</v>
      </c>
      <c r="B37" s="48">
        <v>33</v>
      </c>
      <c r="C37" s="266">
        <v>1.3114043401461528E-2</v>
      </c>
      <c r="D37" s="254">
        <v>428177.62377725192</v>
      </c>
      <c r="E37" s="254">
        <v>468569.824290024</v>
      </c>
      <c r="F37" s="255">
        <v>217307.79552586161</v>
      </c>
      <c r="G37" s="254">
        <v>188825.73483368236</v>
      </c>
      <c r="H37" s="256">
        <v>730194.69815568347</v>
      </c>
      <c r="I37" s="175">
        <v>150512.23915403362</v>
      </c>
      <c r="J37" s="406">
        <f>$C37*Allocations!$B$16</f>
        <v>752620.34068171505</v>
      </c>
      <c r="K37" s="407">
        <f>$C37*Allocations!$B$24</f>
        <v>152252.39152149975</v>
      </c>
      <c r="L37" s="254">
        <f t="shared" si="8"/>
        <v>3088460.6479397519</v>
      </c>
      <c r="M37" s="175">
        <f t="shared" si="9"/>
        <v>772115.16</v>
      </c>
      <c r="N37" s="264">
        <v>898828.32159625064</v>
      </c>
      <c r="O37" s="271">
        <f t="shared" ref="O37:O68" si="13">$N37+$J37+$K37</f>
        <v>1803701.0537994655</v>
      </c>
      <c r="P37" s="256">
        <f t="shared" ref="P37:P68" si="14">AG37+AI37+AK37+AM37+AO37+AQ37+AS37+AU37+AW37+AY37+BA37+BC37+BE37</f>
        <v>758548.87</v>
      </c>
      <c r="Q37" s="257">
        <f t="shared" ref="Q37:Q68" si="15">AH37+AJ37+AL37+AN37+AP37+AR37+AT37+AV37+AX37+AZ37+BB37+BD37+BE37</f>
        <v>758548.87</v>
      </c>
      <c r="R37" s="347"/>
      <c r="S37" s="348"/>
      <c r="T37" s="348"/>
      <c r="U37" s="349"/>
      <c r="V37" s="362">
        <f>'Project Final Cost Tracking'!C36</f>
        <v>-32774.104999999967</v>
      </c>
      <c r="W37" s="375">
        <f t="shared" si="10"/>
        <v>1077926.2887994654</v>
      </c>
      <c r="X37" s="374">
        <f t="shared" ref="X37:X68" si="16">$W37/$M37</f>
        <v>1.3960693231298105</v>
      </c>
      <c r="Y37" s="375">
        <f t="shared" si="11"/>
        <v>5149853.583713932</v>
      </c>
      <c r="Z37" s="376">
        <f t="shared" ref="Z37:Z68" si="17">IF((($W37-$L37)-($S37+$U37))&gt;0,(($W37-$L37)-($S37+$U37)),0)</f>
        <v>0</v>
      </c>
      <c r="AA37" s="256">
        <f t="shared" ref="AA37:AA68" si="18">IF($Z37&gt;0,0,($J37+$K37))</f>
        <v>904872.73220321478</v>
      </c>
      <c r="AB37" s="276">
        <f t="shared" si="12"/>
        <v>1.3114043401461528E-2</v>
      </c>
      <c r="AC37" s="257">
        <f t="shared" ref="AC37:AC68" si="19">IF($AB37&gt;0,$AB37*$Z$104,0)</f>
        <v>0</v>
      </c>
      <c r="AD37" s="255">
        <f>$C37*Allocations!$B$16</f>
        <v>752620.34068171505</v>
      </c>
      <c r="AE37" s="259">
        <f>$C37*Allocations!$B$24</f>
        <v>152252.39152149975</v>
      </c>
      <c r="AF37" s="441">
        <f t="shared" ref="AF37:AF68" si="20">$N37+$AD37+$AE37+$AC37-$Q37-$V37-$Z37</f>
        <v>1077926.2887994654</v>
      </c>
      <c r="AG37" s="163"/>
      <c r="AH37" s="151"/>
      <c r="AI37" s="161"/>
      <c r="AJ37" s="156"/>
      <c r="AK37" s="155"/>
      <c r="AL37" s="156"/>
      <c r="AM37" s="161"/>
      <c r="AN37" s="156"/>
      <c r="AO37" s="155"/>
      <c r="AP37" s="156"/>
      <c r="AQ37" s="192"/>
      <c r="AR37" s="156"/>
      <c r="AS37" s="155">
        <f>Fayette!C13+Fayette!C14</f>
        <v>758548.87</v>
      </c>
      <c r="AT37" s="156">
        <f>Fayette!D13+Fayette!D14</f>
        <v>758548.87</v>
      </c>
      <c r="AU37" s="155"/>
      <c r="AV37" s="156"/>
      <c r="AW37" s="155"/>
      <c r="AX37" s="156"/>
      <c r="AY37" s="158"/>
      <c r="AZ37" s="151"/>
      <c r="BA37" s="155"/>
      <c r="BB37" s="156"/>
      <c r="BC37" s="159"/>
      <c r="BD37" s="160"/>
      <c r="BE37" s="189"/>
      <c r="BF37" s="186"/>
    </row>
    <row r="38" spans="1:58" s="31" customFormat="1" ht="12.75">
      <c r="A38" s="100" t="s">
        <v>35</v>
      </c>
      <c r="B38" s="48">
        <v>34</v>
      </c>
      <c r="C38" s="266">
        <v>1.1969596459511263E-2</v>
      </c>
      <c r="D38" s="254">
        <v>329157.77678783471</v>
      </c>
      <c r="E38" s="254">
        <v>350278.91087268968</v>
      </c>
      <c r="F38" s="255">
        <v>162448.22862052266</v>
      </c>
      <c r="G38" s="254">
        <v>141156.49218874748</v>
      </c>
      <c r="H38" s="256">
        <v>745447.90132505703</v>
      </c>
      <c r="I38" s="175">
        <v>153656.32355931963</v>
      </c>
      <c r="J38" s="406">
        <f>$C38*Allocations!$B$16</f>
        <v>686940.06031549629</v>
      </c>
      <c r="K38" s="407">
        <f>$C38*Allocations!$B$24</f>
        <v>138965.50672577188</v>
      </c>
      <c r="L38" s="254">
        <f t="shared" si="8"/>
        <v>2708051.2003954393</v>
      </c>
      <c r="M38" s="175">
        <f t="shared" si="9"/>
        <v>677012.8</v>
      </c>
      <c r="N38" s="264">
        <v>-85025.628386051947</v>
      </c>
      <c r="O38" s="271">
        <f t="shared" si="13"/>
        <v>740879.93865521625</v>
      </c>
      <c r="P38" s="256">
        <f t="shared" si="14"/>
        <v>1699701.65</v>
      </c>
      <c r="Q38" s="257">
        <f t="shared" si="15"/>
        <v>1699701.65</v>
      </c>
      <c r="R38" s="347"/>
      <c r="S38" s="348"/>
      <c r="T38" s="348"/>
      <c r="U38" s="349"/>
      <c r="V38" s="362">
        <f>'Project Final Cost Tracking'!C37</f>
        <v>27032.339999999909</v>
      </c>
      <c r="W38" s="375">
        <f t="shared" si="10"/>
        <v>-985854.05134478351</v>
      </c>
      <c r="X38" s="374">
        <f t="shared" si="16"/>
        <v>-1.4561822927790782</v>
      </c>
      <c r="Y38" s="375">
        <f t="shared" si="11"/>
        <v>2730721.0003409232</v>
      </c>
      <c r="Z38" s="376">
        <f t="shared" si="17"/>
        <v>0</v>
      </c>
      <c r="AA38" s="256">
        <f t="shared" si="18"/>
        <v>825905.56704126811</v>
      </c>
      <c r="AB38" s="276">
        <f t="shared" si="12"/>
        <v>1.1969596459511263E-2</v>
      </c>
      <c r="AC38" s="257">
        <f t="shared" si="19"/>
        <v>0</v>
      </c>
      <c r="AD38" s="255">
        <f>$C38*Allocations!$B$16</f>
        <v>686940.06031549629</v>
      </c>
      <c r="AE38" s="259">
        <f>$C38*Allocations!$B$24</f>
        <v>138965.50672577188</v>
      </c>
      <c r="AF38" s="441">
        <f t="shared" si="20"/>
        <v>-985854.05134478351</v>
      </c>
      <c r="AG38" s="163"/>
      <c r="AH38" s="151"/>
      <c r="AI38" s="161"/>
      <c r="AJ38" s="156"/>
      <c r="AK38" s="155"/>
      <c r="AL38" s="156"/>
      <c r="AM38" s="161"/>
      <c r="AN38" s="156"/>
      <c r="AO38" s="155"/>
      <c r="AP38" s="156"/>
      <c r="AQ38" s="192"/>
      <c r="AR38" s="156"/>
      <c r="AS38" s="155"/>
      <c r="AT38" s="156"/>
      <c r="AU38" s="155"/>
      <c r="AV38" s="156"/>
      <c r="AW38" s="155">
        <f>Floyd!C5</f>
        <v>1699701.65</v>
      </c>
      <c r="AX38" s="156">
        <f>Floyd!D5</f>
        <v>1699701.65</v>
      </c>
      <c r="AY38" s="158"/>
      <c r="AZ38" s="151"/>
      <c r="BA38" s="155"/>
      <c r="BB38" s="156"/>
      <c r="BC38" s="159"/>
      <c r="BD38" s="160"/>
      <c r="BE38" s="189"/>
      <c r="BF38" s="186"/>
    </row>
    <row r="39" spans="1:58" s="31" customFormat="1" ht="12.75">
      <c r="A39" s="101" t="s">
        <v>36</v>
      </c>
      <c r="B39" s="47">
        <v>35</v>
      </c>
      <c r="C39" s="267">
        <v>9.0807468147617969E-3</v>
      </c>
      <c r="D39" s="258">
        <v>268396.28599136771</v>
      </c>
      <c r="E39" s="258">
        <v>258976.26368344788</v>
      </c>
      <c r="F39" s="247">
        <v>120104.96202960989</v>
      </c>
      <c r="G39" s="258">
        <v>104363.06556574316</v>
      </c>
      <c r="H39" s="332">
        <v>413193.68926580175</v>
      </c>
      <c r="I39" s="178">
        <v>85170.034146772508</v>
      </c>
      <c r="J39" s="408">
        <f>$C39*Allocations!$B$16</f>
        <v>521147.79188612039</v>
      </c>
      <c r="K39" s="409">
        <f>$C39*Allocations!$B$24</f>
        <v>105426.32634528581</v>
      </c>
      <c r="L39" s="258">
        <f t="shared" si="8"/>
        <v>1876778.418914149</v>
      </c>
      <c r="M39" s="178">
        <f t="shared" si="9"/>
        <v>469194.6</v>
      </c>
      <c r="N39" s="265">
        <v>170703.9377386577</v>
      </c>
      <c r="O39" s="377">
        <f t="shared" si="13"/>
        <v>797278.0559700639</v>
      </c>
      <c r="P39" s="332">
        <f t="shared" si="14"/>
        <v>1411818.75</v>
      </c>
      <c r="Q39" s="378">
        <f t="shared" si="15"/>
        <v>1411818.75</v>
      </c>
      <c r="R39" s="379"/>
      <c r="S39" s="380"/>
      <c r="T39" s="380"/>
      <c r="U39" s="381"/>
      <c r="V39" s="198">
        <f>'Project Final Cost Tracking'!C38</f>
        <v>3515.6699999999837</v>
      </c>
      <c r="W39" s="383">
        <f t="shared" si="10"/>
        <v>-618056.36402993603</v>
      </c>
      <c r="X39" s="382">
        <f t="shared" si="16"/>
        <v>-1.3172708382192295</v>
      </c>
      <c r="Y39" s="383">
        <f t="shared" si="11"/>
        <v>2201527.168011392</v>
      </c>
      <c r="Z39" s="384">
        <f t="shared" si="17"/>
        <v>0</v>
      </c>
      <c r="AA39" s="332">
        <f t="shared" si="18"/>
        <v>626574.1182314062</v>
      </c>
      <c r="AB39" s="385">
        <f t="shared" si="12"/>
        <v>9.0807468147617969E-3</v>
      </c>
      <c r="AC39" s="378">
        <f t="shared" si="19"/>
        <v>0</v>
      </c>
      <c r="AD39" s="247">
        <f>$C39*Allocations!$B$16</f>
        <v>521147.79188612039</v>
      </c>
      <c r="AE39" s="260">
        <f>$C39*Allocations!$B$24</f>
        <v>105426.32634528581</v>
      </c>
      <c r="AF39" s="442">
        <f t="shared" si="20"/>
        <v>-618056.36402993603</v>
      </c>
      <c r="AG39" s="172"/>
      <c r="AH39" s="169"/>
      <c r="AI39" s="184">
        <f>Franklin!C7+Franklin!C8+Franklin!C9+Franklin!C10+Franklin!C11+Franklin!C12</f>
        <v>1411818.75</v>
      </c>
      <c r="AJ39" s="167">
        <f>Franklin!D7+Franklin!D8+Franklin!D9+Franklin!D10+Franklin!D11+Franklin!D12</f>
        <v>1411818.75</v>
      </c>
      <c r="AK39" s="166"/>
      <c r="AL39" s="167"/>
      <c r="AM39" s="184"/>
      <c r="AN39" s="167"/>
      <c r="AO39" s="166"/>
      <c r="AP39" s="167"/>
      <c r="AQ39" s="166"/>
      <c r="AR39" s="167"/>
      <c r="AS39" s="166"/>
      <c r="AT39" s="167"/>
      <c r="AU39" s="166"/>
      <c r="AV39" s="167"/>
      <c r="AW39" s="166"/>
      <c r="AX39" s="167"/>
      <c r="AY39" s="168"/>
      <c r="AZ39" s="169"/>
      <c r="BA39" s="166"/>
      <c r="BB39" s="167"/>
      <c r="BC39" s="170"/>
      <c r="BD39" s="171"/>
      <c r="BE39" s="190"/>
      <c r="BF39" s="186"/>
    </row>
    <row r="40" spans="1:58" s="31" customFormat="1" ht="12.75">
      <c r="A40" s="100" t="s">
        <v>37</v>
      </c>
      <c r="B40" s="48">
        <v>36</v>
      </c>
      <c r="C40" s="266">
        <v>8.251122719635089E-3</v>
      </c>
      <c r="D40" s="254">
        <v>286067.47326368565</v>
      </c>
      <c r="E40" s="254">
        <v>307816.66478479042</v>
      </c>
      <c r="F40" s="255">
        <v>142755.58813856391</v>
      </c>
      <c r="G40" s="254">
        <v>124044.92331555973</v>
      </c>
      <c r="H40" s="256">
        <v>452970.18855895643</v>
      </c>
      <c r="I40" s="175">
        <v>93369.011747463199</v>
      </c>
      <c r="J40" s="406">
        <f>$C40*Allocations!$B$16</f>
        <v>473535.32409129554</v>
      </c>
      <c r="K40" s="407">
        <f>$C40*Allocations!$B$24</f>
        <v>95794.495133500706</v>
      </c>
      <c r="L40" s="254">
        <f t="shared" si="8"/>
        <v>1976353.6690338156</v>
      </c>
      <c r="M40" s="175">
        <f t="shared" si="9"/>
        <v>494088.42</v>
      </c>
      <c r="N40" s="264">
        <v>462657.99575045792</v>
      </c>
      <c r="O40" s="271">
        <f t="shared" si="13"/>
        <v>1031987.8149752541</v>
      </c>
      <c r="P40" s="256">
        <f t="shared" si="14"/>
        <v>0</v>
      </c>
      <c r="Q40" s="257">
        <f t="shared" si="15"/>
        <v>0</v>
      </c>
      <c r="R40" s="347"/>
      <c r="S40" s="348"/>
      <c r="T40" s="348"/>
      <c r="U40" s="349"/>
      <c r="V40" s="362">
        <f>'Project Final Cost Tracking'!C39</f>
        <v>0</v>
      </c>
      <c r="W40" s="375">
        <f t="shared" si="10"/>
        <v>1031987.8149752541</v>
      </c>
      <c r="X40" s="374">
        <f t="shared" si="16"/>
        <v>2.0886703132513289</v>
      </c>
      <c r="Y40" s="375">
        <f t="shared" si="11"/>
        <v>3593972.0014868374</v>
      </c>
      <c r="Z40" s="376">
        <f t="shared" si="17"/>
        <v>0</v>
      </c>
      <c r="AA40" s="256">
        <f t="shared" si="18"/>
        <v>569329.81922479626</v>
      </c>
      <c r="AB40" s="276">
        <f t="shared" si="12"/>
        <v>8.251122719635089E-3</v>
      </c>
      <c r="AC40" s="257">
        <f t="shared" si="19"/>
        <v>0</v>
      </c>
      <c r="AD40" s="255">
        <f>$C40*Allocations!$B$16</f>
        <v>473535.32409129554</v>
      </c>
      <c r="AE40" s="259">
        <f>$C40*Allocations!$B$24</f>
        <v>95794.495133500706</v>
      </c>
      <c r="AF40" s="441">
        <f t="shared" si="20"/>
        <v>1031987.8149752541</v>
      </c>
      <c r="AG40" s="163"/>
      <c r="AH40" s="151"/>
      <c r="AI40" s="161"/>
      <c r="AJ40" s="156"/>
      <c r="AK40" s="155"/>
      <c r="AL40" s="156"/>
      <c r="AM40" s="161"/>
      <c r="AN40" s="156"/>
      <c r="AO40" s="155"/>
      <c r="AP40" s="156"/>
      <c r="AQ40" s="155"/>
      <c r="AR40" s="156"/>
      <c r="AS40" s="155"/>
      <c r="AT40" s="156"/>
      <c r="AU40" s="155"/>
      <c r="AV40" s="156"/>
      <c r="AW40" s="155"/>
      <c r="AX40" s="156"/>
      <c r="AY40" s="158"/>
      <c r="AZ40" s="151"/>
      <c r="BA40" s="155"/>
      <c r="BB40" s="156"/>
      <c r="BC40" s="159"/>
      <c r="BD40" s="160"/>
      <c r="BE40" s="189"/>
      <c r="BF40" s="186"/>
    </row>
    <row r="41" spans="1:58" s="31" customFormat="1" ht="12.75">
      <c r="A41" s="100" t="s">
        <v>38</v>
      </c>
      <c r="B41" s="48">
        <v>37</v>
      </c>
      <c r="C41" s="266">
        <v>5.5034650208846039E-3</v>
      </c>
      <c r="D41" s="254">
        <v>192275.07868111055</v>
      </c>
      <c r="E41" s="254">
        <v>191887.99792310118</v>
      </c>
      <c r="F41" s="255">
        <v>88991.556124473223</v>
      </c>
      <c r="G41" s="254">
        <v>77327.626183556422</v>
      </c>
      <c r="H41" s="256">
        <v>307440.7128213325</v>
      </c>
      <c r="I41" s="175">
        <v>63371.577759641659</v>
      </c>
      <c r="J41" s="406">
        <f>$C41*Allocations!$B$16</f>
        <v>315846.11947269097</v>
      </c>
      <c r="K41" s="407">
        <f>$C41*Allocations!$B$24</f>
        <v>63894.535455877616</v>
      </c>
      <c r="L41" s="254">
        <f t="shared" si="8"/>
        <v>1301035.204421784</v>
      </c>
      <c r="M41" s="175">
        <f t="shared" si="9"/>
        <v>325258.8</v>
      </c>
      <c r="N41" s="264">
        <v>902983.81916210963</v>
      </c>
      <c r="O41" s="271">
        <f t="shared" si="13"/>
        <v>1282724.4740906784</v>
      </c>
      <c r="P41" s="256">
        <f t="shared" si="14"/>
        <v>0</v>
      </c>
      <c r="Q41" s="257">
        <f t="shared" si="15"/>
        <v>0</v>
      </c>
      <c r="R41" s="347">
        <f>Greene!C3</f>
        <v>480692.89</v>
      </c>
      <c r="S41" s="348">
        <f>Greene!D3</f>
        <v>480692.89</v>
      </c>
      <c r="T41" s="348"/>
      <c r="U41" s="349"/>
      <c r="V41" s="362">
        <f>'Project Final Cost Tracking'!C40</f>
        <v>0</v>
      </c>
      <c r="W41" s="375">
        <f t="shared" si="10"/>
        <v>1282724.4740906784</v>
      </c>
      <c r="X41" s="374">
        <f t="shared" si="16"/>
        <v>3.9437041337257543</v>
      </c>
      <c r="Y41" s="375">
        <f t="shared" si="11"/>
        <v>2991557.4212692371</v>
      </c>
      <c r="Z41" s="376">
        <f t="shared" si="17"/>
        <v>0</v>
      </c>
      <c r="AA41" s="256">
        <f t="shared" si="18"/>
        <v>379740.65492856858</v>
      </c>
      <c r="AB41" s="276">
        <f t="shared" si="12"/>
        <v>5.503465020884603E-3</v>
      </c>
      <c r="AC41" s="257">
        <f t="shared" si="19"/>
        <v>0</v>
      </c>
      <c r="AD41" s="255">
        <f>$C41*Allocations!$B$16</f>
        <v>315846.11947269097</v>
      </c>
      <c r="AE41" s="259">
        <f>$C41*Allocations!$B$24</f>
        <v>63894.535455877616</v>
      </c>
      <c r="AF41" s="441">
        <f t="shared" si="20"/>
        <v>1282724.4740906784</v>
      </c>
      <c r="AG41" s="163"/>
      <c r="AH41" s="151"/>
      <c r="AI41" s="161"/>
      <c r="AJ41" s="156"/>
      <c r="AK41" s="155"/>
      <c r="AL41" s="156"/>
      <c r="AM41" s="161"/>
      <c r="AN41" s="156"/>
      <c r="AO41" s="155"/>
      <c r="AP41" s="156"/>
      <c r="AQ41" s="155"/>
      <c r="AR41" s="156"/>
      <c r="AS41" s="155"/>
      <c r="AT41" s="156"/>
      <c r="AU41" s="155"/>
      <c r="AV41" s="156"/>
      <c r="AW41" s="155"/>
      <c r="AX41" s="156"/>
      <c r="AY41" s="158"/>
      <c r="AZ41" s="151"/>
      <c r="BA41" s="155"/>
      <c r="BB41" s="156"/>
      <c r="BC41" s="159"/>
      <c r="BD41" s="160"/>
      <c r="BE41" s="189"/>
      <c r="BF41" s="186"/>
    </row>
    <row r="42" spans="1:58" s="31" customFormat="1" ht="12.75">
      <c r="A42" s="100" t="s">
        <v>39</v>
      </c>
      <c r="B42" s="48">
        <v>38</v>
      </c>
      <c r="C42" s="266">
        <v>1.1655021774557572E-2</v>
      </c>
      <c r="D42" s="254">
        <v>426980.1710894542</v>
      </c>
      <c r="E42" s="254">
        <v>426432.43174485525</v>
      </c>
      <c r="F42" s="255">
        <v>197765.8117946795</v>
      </c>
      <c r="G42" s="254">
        <v>171845.07645822532</v>
      </c>
      <c r="H42" s="256">
        <v>672166.35367926979</v>
      </c>
      <c r="I42" s="175">
        <v>138551.07854357344</v>
      </c>
      <c r="J42" s="406">
        <f>$C42*Allocations!$B$16</f>
        <v>668886.48985580844</v>
      </c>
      <c r="K42" s="407">
        <f>$C42*Allocations!$B$24</f>
        <v>135313.33426986981</v>
      </c>
      <c r="L42" s="254">
        <f t="shared" si="8"/>
        <v>2837940.7474357355</v>
      </c>
      <c r="M42" s="175">
        <f t="shared" si="9"/>
        <v>709485.19</v>
      </c>
      <c r="N42" s="264">
        <v>432673.77855101065</v>
      </c>
      <c r="O42" s="271">
        <f t="shared" si="13"/>
        <v>1236873.6026766889</v>
      </c>
      <c r="P42" s="256">
        <f t="shared" si="14"/>
        <v>0</v>
      </c>
      <c r="Q42" s="257">
        <f t="shared" si="15"/>
        <v>0</v>
      </c>
      <c r="R42" s="347"/>
      <c r="S42" s="348"/>
      <c r="T42" s="348"/>
      <c r="U42" s="349"/>
      <c r="V42" s="362">
        <f>'Project Final Cost Tracking'!C41</f>
        <v>0</v>
      </c>
      <c r="W42" s="375">
        <f t="shared" si="10"/>
        <v>1236873.6026766889</v>
      </c>
      <c r="X42" s="374">
        <f t="shared" si="16"/>
        <v>1.7433395652369981</v>
      </c>
      <c r="Y42" s="375">
        <f t="shared" si="11"/>
        <v>4855772.8112422414</v>
      </c>
      <c r="Z42" s="376">
        <f t="shared" si="17"/>
        <v>0</v>
      </c>
      <c r="AA42" s="256">
        <f t="shared" si="18"/>
        <v>804199.82412567828</v>
      </c>
      <c r="AB42" s="276">
        <f t="shared" si="12"/>
        <v>1.1655021774557572E-2</v>
      </c>
      <c r="AC42" s="257">
        <f t="shared" si="19"/>
        <v>0</v>
      </c>
      <c r="AD42" s="255">
        <f>$C42*Allocations!$B$16</f>
        <v>668886.48985580844</v>
      </c>
      <c r="AE42" s="259">
        <f>$C42*Allocations!$B$24</f>
        <v>135313.33426986981</v>
      </c>
      <c r="AF42" s="441">
        <f t="shared" si="20"/>
        <v>1236873.6026766889</v>
      </c>
      <c r="AG42" s="163"/>
      <c r="AH42" s="151"/>
      <c r="AI42" s="161"/>
      <c r="AJ42" s="156"/>
      <c r="AK42" s="155"/>
      <c r="AL42" s="156"/>
      <c r="AM42" s="161"/>
      <c r="AN42" s="156"/>
      <c r="AO42" s="155"/>
      <c r="AP42" s="156"/>
      <c r="AQ42" s="155"/>
      <c r="AR42" s="156"/>
      <c r="AS42" s="155"/>
      <c r="AT42" s="156"/>
      <c r="AU42" s="155"/>
      <c r="AV42" s="156"/>
      <c r="AW42" s="155"/>
      <c r="AX42" s="156"/>
      <c r="AY42" s="158"/>
      <c r="AZ42" s="151"/>
      <c r="BA42" s="155"/>
      <c r="BB42" s="156"/>
      <c r="BC42" s="159"/>
      <c r="BD42" s="160"/>
      <c r="BE42" s="189"/>
      <c r="BF42" s="186"/>
    </row>
    <row r="43" spans="1:58" s="31" customFormat="1" ht="12.75">
      <c r="A43" s="100" t="s">
        <v>40</v>
      </c>
      <c r="B43" s="48">
        <v>39</v>
      </c>
      <c r="C43" s="266">
        <v>1.5680390647584183E-2</v>
      </c>
      <c r="D43" s="254">
        <v>455623.61308173923</v>
      </c>
      <c r="E43" s="254">
        <v>535937.29184612958</v>
      </c>
      <c r="F43" s="255">
        <v>248550.68635213067</v>
      </c>
      <c r="G43" s="254">
        <v>215973.68782967451</v>
      </c>
      <c r="H43" s="256">
        <v>819999.46484560054</v>
      </c>
      <c r="I43" s="175">
        <v>169023.35208781052</v>
      </c>
      <c r="J43" s="406">
        <f>$C43*Allocations!$B$16</f>
        <v>899904.06390541245</v>
      </c>
      <c r="K43" s="407">
        <f>$C43*Allocations!$B$24</f>
        <v>182047.35968923077</v>
      </c>
      <c r="L43" s="254">
        <f t="shared" si="8"/>
        <v>3527059.5196377281</v>
      </c>
      <c r="M43" s="175">
        <f t="shared" si="9"/>
        <v>881764.88</v>
      </c>
      <c r="N43" s="264">
        <v>747483.70008677815</v>
      </c>
      <c r="O43" s="271">
        <f t="shared" si="13"/>
        <v>1829435.1236814214</v>
      </c>
      <c r="P43" s="256">
        <f t="shared" si="14"/>
        <v>0</v>
      </c>
      <c r="Q43" s="257">
        <f t="shared" si="15"/>
        <v>0</v>
      </c>
      <c r="R43" s="347"/>
      <c r="S43" s="348"/>
      <c r="T43" s="348"/>
      <c r="U43" s="349"/>
      <c r="V43" s="362">
        <f>'Project Final Cost Tracking'!C42</f>
        <v>-12385.410000000149</v>
      </c>
      <c r="W43" s="375">
        <f t="shared" si="10"/>
        <v>1841820.5336814215</v>
      </c>
      <c r="X43" s="374">
        <f t="shared" si="16"/>
        <v>2.0887887184636131</v>
      </c>
      <c r="Y43" s="375">
        <f t="shared" si="11"/>
        <v>6710601.9398573153</v>
      </c>
      <c r="Z43" s="376">
        <f t="shared" si="17"/>
        <v>0</v>
      </c>
      <c r="AA43" s="256">
        <f t="shared" si="18"/>
        <v>1081951.4235946431</v>
      </c>
      <c r="AB43" s="276">
        <f t="shared" si="12"/>
        <v>1.5680390647584183E-2</v>
      </c>
      <c r="AC43" s="257">
        <f t="shared" si="19"/>
        <v>0</v>
      </c>
      <c r="AD43" s="255">
        <f>$C43*Allocations!$B$16</f>
        <v>899904.06390541245</v>
      </c>
      <c r="AE43" s="259">
        <f>$C43*Allocations!$B$24</f>
        <v>182047.35968923077</v>
      </c>
      <c r="AF43" s="441">
        <f t="shared" si="20"/>
        <v>1841820.5336814215</v>
      </c>
      <c r="AG43" s="163"/>
      <c r="AH43" s="151"/>
      <c r="AI43" s="161"/>
      <c r="AJ43" s="156"/>
      <c r="AK43" s="155"/>
      <c r="AL43" s="156"/>
      <c r="AM43" s="161"/>
      <c r="AN43" s="156"/>
      <c r="AO43" s="155"/>
      <c r="AP43" s="156"/>
      <c r="AQ43" s="155"/>
      <c r="AR43" s="156"/>
      <c r="AS43" s="155"/>
      <c r="AT43" s="156"/>
      <c r="AU43" s="155"/>
      <c r="AV43" s="156"/>
      <c r="AW43" s="155"/>
      <c r="AX43" s="156"/>
      <c r="AY43" s="158"/>
      <c r="AZ43" s="151"/>
      <c r="BA43" s="155"/>
      <c r="BB43" s="156"/>
      <c r="BC43" s="159"/>
      <c r="BD43" s="160"/>
      <c r="BE43" s="189"/>
      <c r="BF43" s="186"/>
    </row>
    <row r="44" spans="1:58" s="31" customFormat="1" ht="12.75">
      <c r="A44" s="101" t="s">
        <v>41</v>
      </c>
      <c r="B44" s="47">
        <v>40</v>
      </c>
      <c r="C44" s="267">
        <v>9.2483669466964964E-3</v>
      </c>
      <c r="D44" s="258">
        <v>270160.17287127802</v>
      </c>
      <c r="E44" s="258">
        <v>288184.94323275966</v>
      </c>
      <c r="F44" s="247">
        <v>133651.01948796125</v>
      </c>
      <c r="G44" s="258">
        <v>116133.67069973188</v>
      </c>
      <c r="H44" s="332">
        <v>447358.72974327684</v>
      </c>
      <c r="I44" s="178">
        <v>92212.343213164277</v>
      </c>
      <c r="J44" s="408">
        <f>$C44*Allocations!$B$16</f>
        <v>530767.58014972706</v>
      </c>
      <c r="K44" s="409">
        <f>$C44*Allocations!$B$24</f>
        <v>107372.37495691104</v>
      </c>
      <c r="L44" s="258">
        <f t="shared" si="8"/>
        <v>1985840.83435481</v>
      </c>
      <c r="M44" s="178">
        <f t="shared" si="9"/>
        <v>496460.21</v>
      </c>
      <c r="N44" s="265">
        <v>619223.49230038654</v>
      </c>
      <c r="O44" s="377">
        <f t="shared" si="13"/>
        <v>1257363.4474070244</v>
      </c>
      <c r="P44" s="332">
        <f t="shared" si="14"/>
        <v>470735</v>
      </c>
      <c r="Q44" s="378">
        <f t="shared" si="15"/>
        <v>470735</v>
      </c>
      <c r="R44" s="379">
        <f>Hamilton!C7</f>
        <v>434062.5</v>
      </c>
      <c r="S44" s="380">
        <f>Hamilton!D7</f>
        <v>434062.5</v>
      </c>
      <c r="T44" s="380"/>
      <c r="U44" s="381"/>
      <c r="V44" s="198">
        <f>'Project Final Cost Tracking'!C43</f>
        <v>34240.499999999971</v>
      </c>
      <c r="W44" s="383">
        <f t="shared" si="10"/>
        <v>752387.94740702445</v>
      </c>
      <c r="X44" s="382">
        <f t="shared" si="16"/>
        <v>1.5155050339422458</v>
      </c>
      <c r="Y44" s="383">
        <f t="shared" si="11"/>
        <v>3624017.7453868962</v>
      </c>
      <c r="Z44" s="384">
        <f t="shared" si="17"/>
        <v>0</v>
      </c>
      <c r="AA44" s="332">
        <f t="shared" si="18"/>
        <v>638139.95510663814</v>
      </c>
      <c r="AB44" s="385">
        <f t="shared" si="12"/>
        <v>9.2483669466964982E-3</v>
      </c>
      <c r="AC44" s="378">
        <f t="shared" si="19"/>
        <v>0</v>
      </c>
      <c r="AD44" s="247">
        <f>$C44*Allocations!$B$16</f>
        <v>530767.58014972706</v>
      </c>
      <c r="AE44" s="260">
        <f>$C44*Allocations!$B$24</f>
        <v>107372.37495691104</v>
      </c>
      <c r="AF44" s="442">
        <f t="shared" si="20"/>
        <v>752387.94740702445</v>
      </c>
      <c r="AG44" s="172"/>
      <c r="AH44" s="169"/>
      <c r="AI44" s="184"/>
      <c r="AJ44" s="167"/>
      <c r="AK44" s="166"/>
      <c r="AL44" s="167"/>
      <c r="AM44" s="184"/>
      <c r="AN44" s="167"/>
      <c r="AO44" s="166"/>
      <c r="AP44" s="167"/>
      <c r="AQ44" s="166"/>
      <c r="AR44" s="167"/>
      <c r="AS44" s="166"/>
      <c r="AT44" s="167"/>
      <c r="AU44" s="166">
        <f>Hamilton!C6</f>
        <v>470735</v>
      </c>
      <c r="AV44" s="167">
        <f>Hamilton!D6</f>
        <v>470735</v>
      </c>
      <c r="AW44" s="166"/>
      <c r="AX44" s="167"/>
      <c r="AY44" s="168"/>
      <c r="AZ44" s="169"/>
      <c r="BA44" s="166"/>
      <c r="BB44" s="167"/>
      <c r="BC44" s="170"/>
      <c r="BD44" s="171"/>
      <c r="BE44" s="190"/>
      <c r="BF44" s="186"/>
    </row>
    <row r="45" spans="1:58" s="31" customFormat="1" ht="12.75">
      <c r="A45" s="100" t="s">
        <v>42</v>
      </c>
      <c r="B45" s="48">
        <v>41</v>
      </c>
      <c r="C45" s="266">
        <v>7.0191782100438435E-3</v>
      </c>
      <c r="D45" s="254">
        <v>238396.33322899934</v>
      </c>
      <c r="E45" s="254">
        <v>247348.32762184629</v>
      </c>
      <c r="F45" s="255">
        <v>114712.29476621754</v>
      </c>
      <c r="G45" s="254">
        <v>99677.203485832564</v>
      </c>
      <c r="H45" s="256">
        <v>419760.61870154005</v>
      </c>
      <c r="I45" s="175">
        <v>86523.650184023936</v>
      </c>
      <c r="J45" s="406">
        <f>$C45*Allocations!$B$16</f>
        <v>402833.52235666051</v>
      </c>
      <c r="K45" s="407">
        <f>$C45*Allocations!$B$24</f>
        <v>81491.774602154561</v>
      </c>
      <c r="L45" s="254">
        <f t="shared" si="8"/>
        <v>1690743.7249472747</v>
      </c>
      <c r="M45" s="175">
        <f t="shared" si="9"/>
        <v>422685.93</v>
      </c>
      <c r="N45" s="264">
        <v>-997896.29619304999</v>
      </c>
      <c r="O45" s="271">
        <f t="shared" si="13"/>
        <v>-513570.99923423486</v>
      </c>
      <c r="P45" s="256">
        <f t="shared" si="14"/>
        <v>0</v>
      </c>
      <c r="Q45" s="257">
        <f t="shared" si="15"/>
        <v>0</v>
      </c>
      <c r="R45" s="347"/>
      <c r="S45" s="348"/>
      <c r="T45" s="348"/>
      <c r="U45" s="349"/>
      <c r="V45" s="362">
        <f>'Project Final Cost Tracking'!C44</f>
        <v>-74811.369999999937</v>
      </c>
      <c r="W45" s="375">
        <f t="shared" si="10"/>
        <v>-438759.62923423492</v>
      </c>
      <c r="X45" s="374">
        <f t="shared" si="16"/>
        <v>-1.0380275237319465</v>
      </c>
      <c r="Y45" s="375">
        <f t="shared" si="11"/>
        <v>1740704.2070804331</v>
      </c>
      <c r="Z45" s="376">
        <f t="shared" si="17"/>
        <v>0</v>
      </c>
      <c r="AA45" s="256">
        <f t="shared" si="18"/>
        <v>484325.29695881507</v>
      </c>
      <c r="AB45" s="276">
        <f t="shared" si="12"/>
        <v>7.0191782100438435E-3</v>
      </c>
      <c r="AC45" s="257">
        <f t="shared" si="19"/>
        <v>0</v>
      </c>
      <c r="AD45" s="255">
        <f>$C45*Allocations!$B$16</f>
        <v>402833.52235666051</v>
      </c>
      <c r="AE45" s="259">
        <f>$C45*Allocations!$B$24</f>
        <v>81491.774602154561</v>
      </c>
      <c r="AF45" s="441">
        <f t="shared" si="20"/>
        <v>-438759.62923423492</v>
      </c>
      <c r="AG45" s="163"/>
      <c r="AH45" s="151"/>
      <c r="AI45" s="161"/>
      <c r="AJ45" s="156"/>
      <c r="AK45" s="155"/>
      <c r="AL45" s="156"/>
      <c r="AM45" s="161"/>
      <c r="AN45" s="156"/>
      <c r="AO45" s="155"/>
      <c r="AP45" s="156"/>
      <c r="AQ45" s="155"/>
      <c r="AR45" s="156"/>
      <c r="AS45" s="155"/>
      <c r="AT45" s="156"/>
      <c r="AU45" s="155"/>
      <c r="AV45" s="156"/>
      <c r="AW45" s="155"/>
      <c r="AX45" s="156"/>
      <c r="AY45" s="158"/>
      <c r="AZ45" s="151"/>
      <c r="BA45" s="155"/>
      <c r="BB45" s="156"/>
      <c r="BC45" s="159"/>
      <c r="BD45" s="160"/>
      <c r="BE45" s="189"/>
      <c r="BF45" s="186"/>
    </row>
    <row r="46" spans="1:58" s="31" customFormat="1" ht="12.75">
      <c r="A46" s="100" t="s">
        <v>43</v>
      </c>
      <c r="B46" s="48">
        <v>42</v>
      </c>
      <c r="C46" s="266">
        <v>1.0784238728570776E-2</v>
      </c>
      <c r="D46" s="254">
        <v>445716.90937926737</v>
      </c>
      <c r="E46" s="254">
        <v>433848.17254716321</v>
      </c>
      <c r="F46" s="255">
        <v>201204.99674087716</v>
      </c>
      <c r="G46" s="254">
        <v>174833.49490461938</v>
      </c>
      <c r="H46" s="256">
        <v>636670.15664594201</v>
      </c>
      <c r="I46" s="175">
        <v>131234.38326978791</v>
      </c>
      <c r="J46" s="406">
        <f>$C46*Allocations!$B$16</f>
        <v>618911.89295479434</v>
      </c>
      <c r="K46" s="407">
        <f>$C46*Allocations!$B$24</f>
        <v>125203.65282462692</v>
      </c>
      <c r="L46" s="254">
        <f t="shared" si="8"/>
        <v>2767623.6592670782</v>
      </c>
      <c r="M46" s="175">
        <f t="shared" si="9"/>
        <v>691905.91</v>
      </c>
      <c r="N46" s="264">
        <v>-31145.479928127141</v>
      </c>
      <c r="O46" s="271">
        <f t="shared" si="13"/>
        <v>712970.06585129409</v>
      </c>
      <c r="P46" s="256">
        <f t="shared" si="14"/>
        <v>649706.69999999995</v>
      </c>
      <c r="Q46" s="257">
        <f t="shared" si="15"/>
        <v>649706.69999999995</v>
      </c>
      <c r="R46" s="347"/>
      <c r="S46" s="348"/>
      <c r="T46" s="348"/>
      <c r="U46" s="349"/>
      <c r="V46" s="362">
        <f>'Project Final Cost Tracking'!C45</f>
        <v>-11024.220000000088</v>
      </c>
      <c r="W46" s="375">
        <f t="shared" si="10"/>
        <v>74287.585851294221</v>
      </c>
      <c r="X46" s="374">
        <f t="shared" si="16"/>
        <v>0.10736660111964388</v>
      </c>
      <c r="Y46" s="375">
        <f t="shared" si="11"/>
        <v>3422807.5418586899</v>
      </c>
      <c r="Z46" s="376">
        <f t="shared" si="17"/>
        <v>0</v>
      </c>
      <c r="AA46" s="256">
        <f t="shared" si="18"/>
        <v>744115.54577942123</v>
      </c>
      <c r="AB46" s="276">
        <f t="shared" si="12"/>
        <v>1.0784238728570776E-2</v>
      </c>
      <c r="AC46" s="257">
        <f t="shared" si="19"/>
        <v>0</v>
      </c>
      <c r="AD46" s="255">
        <f>$C46*Allocations!$B$16</f>
        <v>618911.89295479434</v>
      </c>
      <c r="AE46" s="259">
        <f>$C46*Allocations!$B$24</f>
        <v>125203.65282462692</v>
      </c>
      <c r="AF46" s="441">
        <f t="shared" si="20"/>
        <v>74287.585851294221</v>
      </c>
      <c r="AG46" s="163">
        <f>Hardin!C6</f>
        <v>649706.69999999995</v>
      </c>
      <c r="AH46" s="151">
        <f>Hardin!D6</f>
        <v>649706.69999999995</v>
      </c>
      <c r="AI46" s="161"/>
      <c r="AJ46" s="156"/>
      <c r="AK46" s="155"/>
      <c r="AL46" s="156"/>
      <c r="AM46" s="161"/>
      <c r="AN46" s="156"/>
      <c r="AO46" s="155"/>
      <c r="AP46" s="156"/>
      <c r="AQ46" s="155"/>
      <c r="AR46" s="156"/>
      <c r="AS46" s="155"/>
      <c r="AT46" s="156"/>
      <c r="AU46" s="155"/>
      <c r="AV46" s="156"/>
      <c r="AW46" s="155"/>
      <c r="AX46" s="156"/>
      <c r="AY46" s="158"/>
      <c r="AZ46" s="151"/>
      <c r="BA46" s="155"/>
      <c r="BB46" s="156"/>
      <c r="BC46" s="159"/>
      <c r="BD46" s="160"/>
      <c r="BE46" s="189"/>
      <c r="BF46" s="186"/>
    </row>
    <row r="47" spans="1:58" s="31" customFormat="1" ht="12.75">
      <c r="A47" s="100" t="s">
        <v>44</v>
      </c>
      <c r="B47" s="48">
        <v>43</v>
      </c>
      <c r="C47" s="266">
        <v>9.7547759218031219E-3</v>
      </c>
      <c r="D47" s="254">
        <v>411558.92727886897</v>
      </c>
      <c r="E47" s="254">
        <v>387028.49850332935</v>
      </c>
      <c r="F47" s="255">
        <v>179491.51963184439</v>
      </c>
      <c r="G47" s="254">
        <v>155965.95607111487</v>
      </c>
      <c r="H47" s="256">
        <v>594028.51738681202</v>
      </c>
      <c r="I47" s="175">
        <v>122444.82533092459</v>
      </c>
      <c r="J47" s="406">
        <f>$C47*Allocations!$B$16</f>
        <v>559830.59936518501</v>
      </c>
      <c r="K47" s="407">
        <f>$C47*Allocations!$B$24</f>
        <v>113251.7193503681</v>
      </c>
      <c r="L47" s="254">
        <f t="shared" si="8"/>
        <v>2523600.5629184474</v>
      </c>
      <c r="M47" s="175">
        <f t="shared" si="9"/>
        <v>630900.14</v>
      </c>
      <c r="N47" s="264">
        <v>-261423.29959020112</v>
      </c>
      <c r="O47" s="271">
        <f t="shared" si="13"/>
        <v>411659.01912535203</v>
      </c>
      <c r="P47" s="256">
        <f t="shared" si="14"/>
        <v>0</v>
      </c>
      <c r="Q47" s="257">
        <f t="shared" si="15"/>
        <v>0</v>
      </c>
      <c r="R47" s="347"/>
      <c r="S47" s="348"/>
      <c r="T47" s="348"/>
      <c r="U47" s="349"/>
      <c r="V47" s="362">
        <f>'Project Final Cost Tracking'!C46</f>
        <v>-754.91999999992549</v>
      </c>
      <c r="W47" s="375">
        <f t="shared" si="10"/>
        <v>412413.93912535196</v>
      </c>
      <c r="X47" s="374">
        <f t="shared" si="16"/>
        <v>0.65369131020537097</v>
      </c>
      <c r="Y47" s="375">
        <f t="shared" si="11"/>
        <v>3441284.3733453411</v>
      </c>
      <c r="Z47" s="376">
        <f t="shared" si="17"/>
        <v>0</v>
      </c>
      <c r="AA47" s="256">
        <f t="shared" si="18"/>
        <v>673082.31871555315</v>
      </c>
      <c r="AB47" s="276">
        <f t="shared" si="12"/>
        <v>9.7547759218031219E-3</v>
      </c>
      <c r="AC47" s="257">
        <f t="shared" si="19"/>
        <v>0</v>
      </c>
      <c r="AD47" s="255">
        <f>$C47*Allocations!$B$16</f>
        <v>559830.59936518501</v>
      </c>
      <c r="AE47" s="259">
        <f>$C47*Allocations!$B$24</f>
        <v>113251.7193503681</v>
      </c>
      <c r="AF47" s="441">
        <f t="shared" si="20"/>
        <v>412413.93912535196</v>
      </c>
      <c r="AG47" s="163"/>
      <c r="AH47" s="151"/>
      <c r="AI47" s="161"/>
      <c r="AJ47" s="156"/>
      <c r="AK47" s="155"/>
      <c r="AL47" s="156"/>
      <c r="AM47" s="161"/>
      <c r="AN47" s="156"/>
      <c r="AO47" s="155"/>
      <c r="AP47" s="156"/>
      <c r="AQ47" s="155"/>
      <c r="AR47" s="156"/>
      <c r="AS47" s="155"/>
      <c r="AT47" s="156"/>
      <c r="AU47" s="155"/>
      <c r="AV47" s="156"/>
      <c r="AW47" s="155"/>
      <c r="AX47" s="156"/>
      <c r="AY47" s="158"/>
      <c r="AZ47" s="151"/>
      <c r="BA47" s="155"/>
      <c r="BB47" s="156"/>
      <c r="BC47" s="159"/>
      <c r="BD47" s="160"/>
      <c r="BE47" s="189"/>
      <c r="BF47" s="186"/>
    </row>
    <row r="48" spans="1:58" s="31" customFormat="1" ht="12.75">
      <c r="A48" s="100" t="s">
        <v>45</v>
      </c>
      <c r="B48" s="48">
        <v>44</v>
      </c>
      <c r="C48" s="266">
        <v>1.0344633857586842E-2</v>
      </c>
      <c r="D48" s="254">
        <v>246938.12212283618</v>
      </c>
      <c r="E48" s="254">
        <v>203633.11170014122</v>
      </c>
      <c r="F48" s="255">
        <v>94438.566688920575</v>
      </c>
      <c r="G48" s="254">
        <v>82060.708906105123</v>
      </c>
      <c r="H48" s="256">
        <v>485778.10030984762</v>
      </c>
      <c r="I48" s="175">
        <v>100131.58106228689</v>
      </c>
      <c r="J48" s="406">
        <f>$C48*Allocations!$B$16</f>
        <v>593682.78873142437</v>
      </c>
      <c r="K48" s="407">
        <f>$C48*Allocations!$B$24</f>
        <v>120099.89566271719</v>
      </c>
      <c r="L48" s="254">
        <f t="shared" si="8"/>
        <v>1926762.8751842792</v>
      </c>
      <c r="M48" s="175">
        <f t="shared" si="9"/>
        <v>481690.72</v>
      </c>
      <c r="N48" s="264">
        <v>18983.963512140588</v>
      </c>
      <c r="O48" s="271">
        <f t="shared" si="13"/>
        <v>732766.6479062821</v>
      </c>
      <c r="P48" s="256">
        <f t="shared" si="14"/>
        <v>538162.19999999995</v>
      </c>
      <c r="Q48" s="257">
        <f t="shared" si="15"/>
        <v>538162.19999999995</v>
      </c>
      <c r="R48" s="347"/>
      <c r="S48" s="348"/>
      <c r="T48" s="348"/>
      <c r="U48" s="349"/>
      <c r="V48" s="362">
        <f>'Project Final Cost Tracking'!C47</f>
        <v>-7723.8950000000186</v>
      </c>
      <c r="W48" s="375">
        <f t="shared" si="10"/>
        <v>202328.34290628217</v>
      </c>
      <c r="X48" s="374">
        <f t="shared" si="16"/>
        <v>0.42003786767219053</v>
      </c>
      <c r="Y48" s="375">
        <f t="shared" si="11"/>
        <v>3414350.4226799193</v>
      </c>
      <c r="Z48" s="376">
        <f t="shared" si="17"/>
        <v>0</v>
      </c>
      <c r="AA48" s="256">
        <f t="shared" si="18"/>
        <v>713782.68439414154</v>
      </c>
      <c r="AB48" s="276">
        <f t="shared" si="12"/>
        <v>1.0344633857586842E-2</v>
      </c>
      <c r="AC48" s="257">
        <f t="shared" si="19"/>
        <v>0</v>
      </c>
      <c r="AD48" s="255">
        <f>$C48*Allocations!$B$16</f>
        <v>593682.78873142437</v>
      </c>
      <c r="AE48" s="259">
        <f>$C48*Allocations!$B$24</f>
        <v>120099.89566271719</v>
      </c>
      <c r="AF48" s="441">
        <f t="shared" si="20"/>
        <v>202328.34290628217</v>
      </c>
      <c r="AG48" s="163"/>
      <c r="AH48" s="151"/>
      <c r="AI48" s="161"/>
      <c r="AJ48" s="156"/>
      <c r="AK48" s="155"/>
      <c r="AL48" s="156"/>
      <c r="AM48" s="161"/>
      <c r="AN48" s="156"/>
      <c r="AO48" s="155"/>
      <c r="AP48" s="156"/>
      <c r="AQ48" s="155">
        <f>Henry!C4</f>
        <v>538162.19999999995</v>
      </c>
      <c r="AR48" s="156">
        <f>Henry!D4</f>
        <v>538162.19999999995</v>
      </c>
      <c r="AS48" s="155"/>
      <c r="AT48" s="156"/>
      <c r="AU48" s="155"/>
      <c r="AV48" s="156"/>
      <c r="AW48" s="155"/>
      <c r="AX48" s="156"/>
      <c r="AY48" s="158"/>
      <c r="AZ48" s="151"/>
      <c r="BA48" s="155"/>
      <c r="BB48" s="156"/>
      <c r="BC48" s="159"/>
      <c r="BD48" s="160"/>
      <c r="BE48" s="189"/>
      <c r="BF48" s="186"/>
    </row>
    <row r="49" spans="1:58" s="31" customFormat="1" ht="12.75">
      <c r="A49" s="101" t="s">
        <v>46</v>
      </c>
      <c r="B49" s="47">
        <v>45</v>
      </c>
      <c r="C49" s="267">
        <v>9.1774304885294429E-3</v>
      </c>
      <c r="D49" s="258">
        <v>327131.04321462341</v>
      </c>
      <c r="E49" s="258">
        <v>341843.85217304382</v>
      </c>
      <c r="F49" s="247">
        <v>158536.31642274369</v>
      </c>
      <c r="G49" s="258">
        <v>137757.30582471046</v>
      </c>
      <c r="H49" s="332">
        <v>528537.48917729117</v>
      </c>
      <c r="I49" s="178">
        <v>108945.41027736127</v>
      </c>
      <c r="J49" s="408">
        <f>$C49*Allocations!$B$16</f>
        <v>526696.50766063551</v>
      </c>
      <c r="K49" s="409">
        <f>$C49*Allocations!$B$24</f>
        <v>106548.81161558528</v>
      </c>
      <c r="L49" s="258">
        <f t="shared" si="8"/>
        <v>2235996.7363659949</v>
      </c>
      <c r="M49" s="178">
        <f t="shared" si="9"/>
        <v>558999.18000000005</v>
      </c>
      <c r="N49" s="265">
        <v>1366664.387906648</v>
      </c>
      <c r="O49" s="377">
        <f t="shared" si="13"/>
        <v>1999909.7071828688</v>
      </c>
      <c r="P49" s="332">
        <f t="shared" si="14"/>
        <v>592830.35</v>
      </c>
      <c r="Q49" s="378">
        <f t="shared" si="15"/>
        <v>592830.35</v>
      </c>
      <c r="R49" s="379">
        <f>Howard!C7</f>
        <v>346590.04</v>
      </c>
      <c r="S49" s="380">
        <f>Howard!D7</f>
        <v>346590.04</v>
      </c>
      <c r="T49" s="380">
        <f>Howard!C8</f>
        <v>1729293.54</v>
      </c>
      <c r="U49" s="381">
        <f>Howard!D8</f>
        <v>1383434.83</v>
      </c>
      <c r="V49" s="198">
        <f>'Project Final Cost Tracking'!C48</f>
        <v>5349.1300000000047</v>
      </c>
      <c r="W49" s="383">
        <f t="shared" si="10"/>
        <v>1401730.2271828689</v>
      </c>
      <c r="X49" s="382">
        <f t="shared" si="16"/>
        <v>2.5075711688572939</v>
      </c>
      <c r="Y49" s="383">
        <f t="shared" si="11"/>
        <v>4251334.1639258619</v>
      </c>
      <c r="Z49" s="384">
        <f t="shared" si="17"/>
        <v>0</v>
      </c>
      <c r="AA49" s="332">
        <f t="shared" si="18"/>
        <v>633245.31927622075</v>
      </c>
      <c r="AB49" s="385">
        <f t="shared" si="12"/>
        <v>9.1774304885294429E-3</v>
      </c>
      <c r="AC49" s="378">
        <f t="shared" si="19"/>
        <v>0</v>
      </c>
      <c r="AD49" s="247">
        <f>$C49*Allocations!$B$16</f>
        <v>526696.50766063551</v>
      </c>
      <c r="AE49" s="260">
        <f>$C49*Allocations!$B$24</f>
        <v>106548.81161558528</v>
      </c>
      <c r="AF49" s="442">
        <f t="shared" si="20"/>
        <v>1401730.2271828689</v>
      </c>
      <c r="AG49" s="172"/>
      <c r="AH49" s="169"/>
      <c r="AI49" s="184">
        <f>Howard!C6</f>
        <v>592830.35</v>
      </c>
      <c r="AJ49" s="167">
        <f>Howard!D6</f>
        <v>592830.35</v>
      </c>
      <c r="AK49" s="166"/>
      <c r="AL49" s="167"/>
      <c r="AM49" s="184"/>
      <c r="AN49" s="167"/>
      <c r="AO49" s="166"/>
      <c r="AP49" s="167"/>
      <c r="AQ49" s="166"/>
      <c r="AR49" s="167"/>
      <c r="AS49" s="166"/>
      <c r="AT49" s="167"/>
      <c r="AU49" s="166"/>
      <c r="AV49" s="167"/>
      <c r="AW49" s="166"/>
      <c r="AX49" s="167"/>
      <c r="AY49" s="168"/>
      <c r="AZ49" s="169"/>
      <c r="BA49" s="166"/>
      <c r="BB49" s="167"/>
      <c r="BC49" s="170"/>
      <c r="BD49" s="171"/>
      <c r="BE49" s="190"/>
      <c r="BF49" s="186"/>
    </row>
    <row r="50" spans="1:58" s="31" customFormat="1" ht="12.75">
      <c r="A50" s="100" t="s">
        <v>47</v>
      </c>
      <c r="B50" s="48">
        <v>46</v>
      </c>
      <c r="C50" s="266">
        <v>3.4663132572610145E-3</v>
      </c>
      <c r="D50" s="254">
        <v>138181.44628132987</v>
      </c>
      <c r="E50" s="254">
        <v>133772.26530180281</v>
      </c>
      <c r="F50" s="255">
        <v>62039.325983660827</v>
      </c>
      <c r="G50" s="254">
        <v>53907.966297771272</v>
      </c>
      <c r="H50" s="256">
        <v>202323.43806274812</v>
      </c>
      <c r="I50" s="175">
        <v>41704.156128608323</v>
      </c>
      <c r="J50" s="406">
        <f>$C50*Allocations!$B$16</f>
        <v>198933.14248895834</v>
      </c>
      <c r="K50" s="407">
        <f>$C50*Allocations!$B$24</f>
        <v>40243.46016132996</v>
      </c>
      <c r="L50" s="254">
        <f t="shared" si="8"/>
        <v>871105.20070620941</v>
      </c>
      <c r="M50" s="175">
        <f t="shared" si="9"/>
        <v>217776.3</v>
      </c>
      <c r="N50" s="264">
        <v>541902.10033567075</v>
      </c>
      <c r="O50" s="271">
        <f t="shared" si="13"/>
        <v>781078.70298595901</v>
      </c>
      <c r="P50" s="256">
        <f t="shared" si="14"/>
        <v>970252</v>
      </c>
      <c r="Q50" s="257">
        <f t="shared" si="15"/>
        <v>970252</v>
      </c>
      <c r="R50" s="347"/>
      <c r="S50" s="348"/>
      <c r="T50" s="348"/>
      <c r="U50" s="349"/>
      <c r="V50" s="362">
        <f>'Project Final Cost Tracking'!C49</f>
        <v>1188.25</v>
      </c>
      <c r="W50" s="375">
        <f t="shared" si="10"/>
        <v>-190361.54701404099</v>
      </c>
      <c r="X50" s="374">
        <f t="shared" si="16"/>
        <v>-0.87411507594738724</v>
      </c>
      <c r="Y50" s="375">
        <f t="shared" si="11"/>
        <v>885933.16491225653</v>
      </c>
      <c r="Z50" s="376">
        <f t="shared" si="17"/>
        <v>0</v>
      </c>
      <c r="AA50" s="256">
        <f t="shared" si="18"/>
        <v>239176.60265028832</v>
      </c>
      <c r="AB50" s="276">
        <f t="shared" si="12"/>
        <v>3.4663132572610145E-3</v>
      </c>
      <c r="AC50" s="257">
        <f t="shared" si="19"/>
        <v>0</v>
      </c>
      <c r="AD50" s="255">
        <f>$C50*Allocations!$B$16</f>
        <v>198933.14248895834</v>
      </c>
      <c r="AE50" s="259">
        <f>$C50*Allocations!$B$24</f>
        <v>40243.46016132996</v>
      </c>
      <c r="AF50" s="441">
        <f t="shared" si="20"/>
        <v>-190361.54701404099</v>
      </c>
      <c r="AG50" s="163">
        <f>Humboldt!C5+Humboldt!C6</f>
        <v>970252</v>
      </c>
      <c r="AH50" s="151">
        <f>Humboldt!D5+Humboldt!D6</f>
        <v>970252</v>
      </c>
      <c r="AI50" s="161"/>
      <c r="AJ50" s="156"/>
      <c r="AK50" s="155"/>
      <c r="AL50" s="156"/>
      <c r="AM50" s="161"/>
      <c r="AN50" s="156"/>
      <c r="AO50" s="155"/>
      <c r="AP50" s="156"/>
      <c r="AQ50" s="155"/>
      <c r="AR50" s="156"/>
      <c r="AS50" s="155"/>
      <c r="AT50" s="156"/>
      <c r="AU50" s="155"/>
      <c r="AV50" s="156"/>
      <c r="AW50" s="155"/>
      <c r="AX50" s="156"/>
      <c r="AY50" s="158"/>
      <c r="AZ50" s="151"/>
      <c r="BA50" s="155"/>
      <c r="BB50" s="156"/>
      <c r="BC50" s="159"/>
      <c r="BD50" s="160"/>
      <c r="BE50" s="189"/>
      <c r="BF50" s="186"/>
    </row>
    <row r="51" spans="1:58" s="31" customFormat="1" ht="12.75">
      <c r="A51" s="100" t="s">
        <v>48</v>
      </c>
      <c r="B51" s="48">
        <v>47</v>
      </c>
      <c r="C51" s="266">
        <v>6.470773127909093E-3</v>
      </c>
      <c r="D51" s="254">
        <v>173508.73862482642</v>
      </c>
      <c r="E51" s="254">
        <v>187436.65329409859</v>
      </c>
      <c r="F51" s="255">
        <v>86927.163928667389</v>
      </c>
      <c r="G51" s="254">
        <v>75533.809388283815</v>
      </c>
      <c r="H51" s="256">
        <v>381774.08955724636</v>
      </c>
      <c r="I51" s="175">
        <v>78693.632281074737</v>
      </c>
      <c r="J51" s="406">
        <f>$C51*Allocations!$B$16</f>
        <v>371360.32929845841</v>
      </c>
      <c r="K51" s="407">
        <f>$C51*Allocations!$B$24</f>
        <v>75124.860697610449</v>
      </c>
      <c r="L51" s="254">
        <f t="shared" si="8"/>
        <v>1430359.2770702664</v>
      </c>
      <c r="M51" s="175">
        <f t="shared" si="9"/>
        <v>357589.82</v>
      </c>
      <c r="N51" s="264">
        <v>-78316.218899003434</v>
      </c>
      <c r="O51" s="271">
        <f t="shared" si="13"/>
        <v>368168.97109706537</v>
      </c>
      <c r="P51" s="256">
        <f t="shared" si="14"/>
        <v>0</v>
      </c>
      <c r="Q51" s="257">
        <f t="shared" si="15"/>
        <v>0</v>
      </c>
      <c r="R51" s="347"/>
      <c r="S51" s="348"/>
      <c r="T51" s="348"/>
      <c r="U51" s="349"/>
      <c r="V51" s="362">
        <f>'Project Final Cost Tracking'!C50</f>
        <v>-10364.479999999923</v>
      </c>
      <c r="W51" s="375">
        <f t="shared" si="10"/>
        <v>378533.45109706529</v>
      </c>
      <c r="X51" s="374">
        <f t="shared" si="16"/>
        <v>1.0585688683672967</v>
      </c>
      <c r="Y51" s="375">
        <f t="shared" si="11"/>
        <v>2387716.8060793751</v>
      </c>
      <c r="Z51" s="376">
        <f t="shared" si="17"/>
        <v>0</v>
      </c>
      <c r="AA51" s="256">
        <f t="shared" si="18"/>
        <v>446485.18999606883</v>
      </c>
      <c r="AB51" s="276">
        <f t="shared" si="12"/>
        <v>6.4707731279090921E-3</v>
      </c>
      <c r="AC51" s="257">
        <f t="shared" si="19"/>
        <v>0</v>
      </c>
      <c r="AD51" s="255">
        <f>$C51*Allocations!$B$16</f>
        <v>371360.32929845841</v>
      </c>
      <c r="AE51" s="259">
        <f>$C51*Allocations!$B$24</f>
        <v>75124.860697610449</v>
      </c>
      <c r="AF51" s="441">
        <f t="shared" si="20"/>
        <v>378533.45109706529</v>
      </c>
      <c r="AG51" s="163"/>
      <c r="AH51" s="151"/>
      <c r="AI51" s="161"/>
      <c r="AJ51" s="156"/>
      <c r="AK51" s="155"/>
      <c r="AL51" s="156"/>
      <c r="AM51" s="161"/>
      <c r="AN51" s="156"/>
      <c r="AO51" s="155"/>
      <c r="AP51" s="156"/>
      <c r="AQ51" s="155"/>
      <c r="AR51" s="156"/>
      <c r="AS51" s="155"/>
      <c r="AT51" s="156"/>
      <c r="AU51" s="155"/>
      <c r="AV51" s="156"/>
      <c r="AW51" s="155"/>
      <c r="AX51" s="156"/>
      <c r="AY51" s="158"/>
      <c r="AZ51" s="151"/>
      <c r="BA51" s="155"/>
      <c r="BB51" s="156"/>
      <c r="BC51" s="159"/>
      <c r="BD51" s="160"/>
      <c r="BE51" s="189"/>
      <c r="BF51" s="186"/>
    </row>
    <row r="52" spans="1:58" s="31" customFormat="1" ht="12.75">
      <c r="A52" s="100" t="s">
        <v>49</v>
      </c>
      <c r="B52" s="48">
        <v>48</v>
      </c>
      <c r="C52" s="266">
        <v>1.4795519696584989E-2</v>
      </c>
      <c r="D52" s="254">
        <v>498332.13865079626</v>
      </c>
      <c r="E52" s="254">
        <v>497130.50754930126</v>
      </c>
      <c r="F52" s="255">
        <v>230553.33289521726</v>
      </c>
      <c r="G52" s="254">
        <v>200335.20839390688</v>
      </c>
      <c r="H52" s="256">
        <v>867063.40006270644</v>
      </c>
      <c r="I52" s="175">
        <v>178724.46097126161</v>
      </c>
      <c r="J52" s="406">
        <f>$C52*Allocations!$B$16</f>
        <v>849120.95634560788</v>
      </c>
      <c r="K52" s="407">
        <f>$C52*Allocations!$B$24</f>
        <v>171774.11944186996</v>
      </c>
      <c r="L52" s="254">
        <f t="shared" si="8"/>
        <v>3493034.1243106676</v>
      </c>
      <c r="M52" s="175">
        <f t="shared" si="9"/>
        <v>873258.53</v>
      </c>
      <c r="N52" s="264">
        <v>1068857.6208250744</v>
      </c>
      <c r="O52" s="271">
        <f t="shared" si="13"/>
        <v>2089752.696612552</v>
      </c>
      <c r="P52" s="256">
        <f t="shared" si="14"/>
        <v>485307.25</v>
      </c>
      <c r="Q52" s="257">
        <f t="shared" si="15"/>
        <v>485307.25</v>
      </c>
      <c r="R52" s="347"/>
      <c r="S52" s="348"/>
      <c r="T52" s="348">
        <f>Iowa!C7</f>
        <v>432049</v>
      </c>
      <c r="U52" s="349">
        <f>Iowa!D7</f>
        <v>432049</v>
      </c>
      <c r="V52" s="362">
        <f>'Project Final Cost Tracking'!C51</f>
        <v>3944.8699999999953</v>
      </c>
      <c r="W52" s="375">
        <f t="shared" si="10"/>
        <v>1600500.5766125522</v>
      </c>
      <c r="X52" s="374">
        <f t="shared" si="16"/>
        <v>1.8327912314953878</v>
      </c>
      <c r="Y52" s="375">
        <f t="shared" si="11"/>
        <v>6194528.4176562019</v>
      </c>
      <c r="Z52" s="376">
        <f t="shared" si="17"/>
        <v>0</v>
      </c>
      <c r="AA52" s="256">
        <f t="shared" si="18"/>
        <v>1020895.0757874779</v>
      </c>
      <c r="AB52" s="276">
        <f t="shared" si="12"/>
        <v>1.4795519696584991E-2</v>
      </c>
      <c r="AC52" s="257">
        <f t="shared" si="19"/>
        <v>0</v>
      </c>
      <c r="AD52" s="255">
        <f>$C52*Allocations!$B$16</f>
        <v>849120.95634560788</v>
      </c>
      <c r="AE52" s="259">
        <f>$C52*Allocations!$B$24</f>
        <v>171774.11944186996</v>
      </c>
      <c r="AF52" s="441">
        <f t="shared" si="20"/>
        <v>1600500.5766125522</v>
      </c>
      <c r="AG52" s="163"/>
      <c r="AH52" s="151"/>
      <c r="AI52" s="161"/>
      <c r="AJ52" s="156"/>
      <c r="AK52" s="155">
        <f>Iowa!C6</f>
        <v>485307.25</v>
      </c>
      <c r="AL52" s="156">
        <f>Iowa!D6</f>
        <v>485307.25</v>
      </c>
      <c r="AM52" s="161"/>
      <c r="AN52" s="156"/>
      <c r="AO52" s="155"/>
      <c r="AP52" s="156"/>
      <c r="AQ52" s="155"/>
      <c r="AR52" s="156"/>
      <c r="AS52" s="155"/>
      <c r="AT52" s="156"/>
      <c r="AU52" s="155"/>
      <c r="AV52" s="156"/>
      <c r="AW52" s="155"/>
      <c r="AX52" s="156"/>
      <c r="AY52" s="158"/>
      <c r="AZ52" s="151"/>
      <c r="BA52" s="155"/>
      <c r="BB52" s="156"/>
      <c r="BC52" s="159"/>
      <c r="BD52" s="160"/>
      <c r="BE52" s="189"/>
      <c r="BF52" s="186"/>
    </row>
    <row r="53" spans="1:58" s="31" customFormat="1" ht="12.75">
      <c r="A53" s="100" t="s">
        <v>50</v>
      </c>
      <c r="B53" s="48">
        <v>49</v>
      </c>
      <c r="C53" s="266">
        <v>1.1475713604537681E-2</v>
      </c>
      <c r="D53" s="254">
        <v>467530.31943646807</v>
      </c>
      <c r="E53" s="254">
        <v>429684.14671196498</v>
      </c>
      <c r="F53" s="255">
        <v>199273.85387197664</v>
      </c>
      <c r="G53" s="254">
        <v>173155.46273643803</v>
      </c>
      <c r="H53" s="256">
        <v>661444.96297121781</v>
      </c>
      <c r="I53" s="175">
        <v>136341.1193006619</v>
      </c>
      <c r="J53" s="406">
        <f>$C53*Allocations!$B$16</f>
        <v>658595.92028270895</v>
      </c>
      <c r="K53" s="407">
        <f>$C53*Allocations!$B$24</f>
        <v>133231.58900876829</v>
      </c>
      <c r="L53" s="254">
        <f t="shared" si="8"/>
        <v>2859257.3743202044</v>
      </c>
      <c r="M53" s="175">
        <f t="shared" si="9"/>
        <v>714814.34</v>
      </c>
      <c r="N53" s="264">
        <v>-746063.48422555556</v>
      </c>
      <c r="O53" s="271">
        <f t="shared" si="13"/>
        <v>45764.025065921684</v>
      </c>
      <c r="P53" s="256">
        <f t="shared" si="14"/>
        <v>510316.15</v>
      </c>
      <c r="Q53" s="257">
        <f t="shared" si="15"/>
        <v>510316.15</v>
      </c>
      <c r="R53" s="347"/>
      <c r="S53" s="348"/>
      <c r="T53" s="348"/>
      <c r="U53" s="349"/>
      <c r="V53" s="362">
        <f>'Project Final Cost Tracking'!C52</f>
        <v>-15533.400000000052</v>
      </c>
      <c r="W53" s="375">
        <f t="shared" si="10"/>
        <v>-449018.72493407829</v>
      </c>
      <c r="X53" s="374">
        <f t="shared" si="16"/>
        <v>-0.62816132778488787</v>
      </c>
      <c r="Y53" s="375">
        <f t="shared" si="11"/>
        <v>3114205.0668775695</v>
      </c>
      <c r="Z53" s="376">
        <f t="shared" si="17"/>
        <v>0</v>
      </c>
      <c r="AA53" s="256">
        <f t="shared" si="18"/>
        <v>791827.50929147727</v>
      </c>
      <c r="AB53" s="276">
        <f t="shared" si="12"/>
        <v>1.1475713604537681E-2</v>
      </c>
      <c r="AC53" s="257">
        <f t="shared" si="19"/>
        <v>0</v>
      </c>
      <c r="AD53" s="255">
        <f>$C53*Allocations!$B$16</f>
        <v>658595.92028270895</v>
      </c>
      <c r="AE53" s="259">
        <f>$C53*Allocations!$B$24</f>
        <v>133231.58900876829</v>
      </c>
      <c r="AF53" s="441">
        <f t="shared" si="20"/>
        <v>-449018.72493407829</v>
      </c>
      <c r="AG53" s="163"/>
      <c r="AH53" s="151"/>
      <c r="AI53" s="161">
        <f>Jackson!C8</f>
        <v>510316.15</v>
      </c>
      <c r="AJ53" s="156">
        <f>Jackson!D8</f>
        <v>510316.15</v>
      </c>
      <c r="AK53" s="155"/>
      <c r="AL53" s="156"/>
      <c r="AM53" s="161"/>
      <c r="AN53" s="156"/>
      <c r="AO53" s="155"/>
      <c r="AP53" s="156"/>
      <c r="AQ53" s="155"/>
      <c r="AR53" s="156"/>
      <c r="AS53" s="155"/>
      <c r="AT53" s="156"/>
      <c r="AU53" s="155"/>
      <c r="AV53" s="156"/>
      <c r="AW53" s="155"/>
      <c r="AX53" s="156"/>
      <c r="AY53" s="158"/>
      <c r="AZ53" s="151"/>
      <c r="BA53" s="155"/>
      <c r="BB53" s="156"/>
      <c r="BC53" s="159"/>
      <c r="BD53" s="160"/>
      <c r="BE53" s="189"/>
      <c r="BF53" s="186"/>
    </row>
    <row r="54" spans="1:58" s="31" customFormat="1" ht="12.75">
      <c r="A54" s="101" t="s">
        <v>51</v>
      </c>
      <c r="B54" s="47">
        <v>50</v>
      </c>
      <c r="C54" s="267">
        <v>1.898256830624212E-2</v>
      </c>
      <c r="D54" s="258">
        <v>747424.99799754412</v>
      </c>
      <c r="E54" s="258">
        <v>664133.75547753589</v>
      </c>
      <c r="F54" s="247">
        <v>308004.13269422646</v>
      </c>
      <c r="G54" s="258">
        <v>267634.70011307928</v>
      </c>
      <c r="H54" s="332">
        <v>1098606.3120888718</v>
      </c>
      <c r="I54" s="178">
        <v>226451.51546416242</v>
      </c>
      <c r="J54" s="408">
        <f>$C54*Allocations!$B$16</f>
        <v>1089417.3969308091</v>
      </c>
      <c r="K54" s="409">
        <f>$C54*Allocations!$B$24</f>
        <v>220385.22623186442</v>
      </c>
      <c r="L54" s="258">
        <f t="shared" si="8"/>
        <v>4622058.0369980941</v>
      </c>
      <c r="M54" s="178">
        <f t="shared" si="9"/>
        <v>1155514.51</v>
      </c>
      <c r="N54" s="265">
        <v>610754.49624221958</v>
      </c>
      <c r="O54" s="377">
        <f t="shared" si="13"/>
        <v>1920557.1194048931</v>
      </c>
      <c r="P54" s="332">
        <f t="shared" si="14"/>
        <v>1076454.8899999999</v>
      </c>
      <c r="Q54" s="378">
        <f t="shared" si="15"/>
        <v>1076454.8899999999</v>
      </c>
      <c r="R54" s="379"/>
      <c r="S54" s="380"/>
      <c r="T54" s="380">
        <f>Jasper!C7</f>
        <v>1538699.68</v>
      </c>
      <c r="U54" s="381">
        <f>Jasper!D7</f>
        <v>1538699.68</v>
      </c>
      <c r="V54" s="198">
        <f>'Project Final Cost Tracking'!C53</f>
        <v>38820.989999999991</v>
      </c>
      <c r="W54" s="383">
        <f t="shared" si="10"/>
        <v>805281.23940489325</v>
      </c>
      <c r="X54" s="382">
        <f t="shared" si="16"/>
        <v>0.69690274975854105</v>
      </c>
      <c r="Y54" s="383">
        <f t="shared" si="11"/>
        <v>6699393.0436369246</v>
      </c>
      <c r="Z54" s="384">
        <f t="shared" si="17"/>
        <v>0</v>
      </c>
      <c r="AA54" s="332">
        <f t="shared" si="18"/>
        <v>1309802.6231626736</v>
      </c>
      <c r="AB54" s="385">
        <f t="shared" si="12"/>
        <v>1.898256830624212E-2</v>
      </c>
      <c r="AC54" s="378">
        <f t="shared" si="19"/>
        <v>0</v>
      </c>
      <c r="AD54" s="247">
        <f>$C54*Allocations!$B$16</f>
        <v>1089417.3969308091</v>
      </c>
      <c r="AE54" s="260">
        <f>$C54*Allocations!$B$24</f>
        <v>220385.22623186442</v>
      </c>
      <c r="AF54" s="442">
        <f t="shared" si="20"/>
        <v>805281.23940489325</v>
      </c>
      <c r="AG54" s="172"/>
      <c r="AH54" s="169"/>
      <c r="AI54" s="184"/>
      <c r="AJ54" s="167"/>
      <c r="AK54" s="166">
        <f>Jasper!C6</f>
        <v>1076454.8899999999</v>
      </c>
      <c r="AL54" s="167">
        <f>Jasper!D6</f>
        <v>1076454.8899999999</v>
      </c>
      <c r="AM54" s="184"/>
      <c r="AN54" s="167"/>
      <c r="AO54" s="166"/>
      <c r="AP54" s="167"/>
      <c r="AQ54" s="166"/>
      <c r="AR54" s="167"/>
      <c r="AS54" s="166"/>
      <c r="AT54" s="167"/>
      <c r="AU54" s="200"/>
      <c r="AV54" s="167"/>
      <c r="AW54" s="166"/>
      <c r="AX54" s="167"/>
      <c r="AY54" s="168"/>
      <c r="AZ54" s="169"/>
      <c r="BA54" s="166"/>
      <c r="BB54" s="167"/>
      <c r="BC54" s="170"/>
      <c r="BD54" s="171"/>
      <c r="BE54" s="190"/>
      <c r="BF54" s="186"/>
    </row>
    <row r="55" spans="1:58" s="31" customFormat="1" ht="12.75">
      <c r="A55" s="100" t="s">
        <v>52</v>
      </c>
      <c r="B55" s="48">
        <v>51</v>
      </c>
      <c r="C55" s="266">
        <v>8.5076704127326659E-3</v>
      </c>
      <c r="D55" s="254">
        <v>336079.11986460327</v>
      </c>
      <c r="E55" s="254">
        <v>320704.12459811207</v>
      </c>
      <c r="F55" s="255">
        <v>148732.38249616991</v>
      </c>
      <c r="G55" s="254">
        <v>129238.3522203707</v>
      </c>
      <c r="H55" s="256">
        <v>522358.51981170225</v>
      </c>
      <c r="I55" s="175">
        <v>107671.76296490067</v>
      </c>
      <c r="J55" s="406">
        <f>$C55*Allocations!$B$16</f>
        <v>488258.70163926732</v>
      </c>
      <c r="K55" s="407">
        <f>$C55*Allocations!$B$24</f>
        <v>98772.981525354247</v>
      </c>
      <c r="L55" s="254">
        <f t="shared" si="8"/>
        <v>2151815.9451204804</v>
      </c>
      <c r="M55" s="175">
        <f t="shared" si="9"/>
        <v>537953.99</v>
      </c>
      <c r="N55" s="264">
        <v>542129.74450722511</v>
      </c>
      <c r="O55" s="271">
        <f t="shared" si="13"/>
        <v>1129161.4276718467</v>
      </c>
      <c r="P55" s="256">
        <f t="shared" si="14"/>
        <v>0</v>
      </c>
      <c r="Q55" s="257">
        <f t="shared" si="15"/>
        <v>0</v>
      </c>
      <c r="R55" s="347"/>
      <c r="S55" s="348"/>
      <c r="T55" s="348"/>
      <c r="U55" s="349"/>
      <c r="V55" s="362">
        <f>'Project Final Cost Tracking'!C54</f>
        <v>-2109.8800000000047</v>
      </c>
      <c r="W55" s="375">
        <f t="shared" si="10"/>
        <v>1131271.3076718468</v>
      </c>
      <c r="X55" s="374">
        <f t="shared" si="16"/>
        <v>2.1029146148202131</v>
      </c>
      <c r="Y55" s="375">
        <f t="shared" si="11"/>
        <v>3772913.881912644</v>
      </c>
      <c r="Z55" s="376">
        <f t="shared" si="17"/>
        <v>0</v>
      </c>
      <c r="AA55" s="256">
        <f t="shared" si="18"/>
        <v>587031.68316462159</v>
      </c>
      <c r="AB55" s="276">
        <f t="shared" si="12"/>
        <v>8.5076704127326659E-3</v>
      </c>
      <c r="AC55" s="257">
        <f t="shared" si="19"/>
        <v>0</v>
      </c>
      <c r="AD55" s="255">
        <f>$C55*Allocations!$B$16</f>
        <v>488258.70163926732</v>
      </c>
      <c r="AE55" s="259">
        <f>$C55*Allocations!$B$24</f>
        <v>98772.981525354247</v>
      </c>
      <c r="AF55" s="441">
        <f t="shared" si="20"/>
        <v>1131271.3076718468</v>
      </c>
      <c r="AG55" s="163"/>
      <c r="AH55" s="151"/>
      <c r="AI55" s="161"/>
      <c r="AJ55" s="156"/>
      <c r="AK55" s="155"/>
      <c r="AL55" s="156"/>
      <c r="AM55" s="161"/>
      <c r="AN55" s="156"/>
      <c r="AO55" s="155"/>
      <c r="AP55" s="156"/>
      <c r="AQ55" s="155"/>
      <c r="AR55" s="156"/>
      <c r="AS55" s="155"/>
      <c r="AT55" s="156"/>
      <c r="AU55" s="155"/>
      <c r="AV55" s="156"/>
      <c r="AW55" s="155"/>
      <c r="AX55" s="156"/>
      <c r="AY55" s="158"/>
      <c r="AZ55" s="151"/>
      <c r="BA55" s="155"/>
      <c r="BB55" s="156"/>
      <c r="BC55" s="159"/>
      <c r="BD55" s="160"/>
      <c r="BE55" s="189"/>
      <c r="BF55" s="186"/>
    </row>
    <row r="56" spans="1:58" s="31" customFormat="1" ht="12.75">
      <c r="A56" s="100" t="s">
        <v>53</v>
      </c>
      <c r="B56" s="48">
        <v>52</v>
      </c>
      <c r="C56" s="266">
        <v>9.7817051593350971E-3</v>
      </c>
      <c r="D56" s="254">
        <v>327356.24139561242</v>
      </c>
      <c r="E56" s="254">
        <v>317055.89409722888</v>
      </c>
      <c r="F56" s="255">
        <v>147040.44911373674</v>
      </c>
      <c r="G56" s="254">
        <v>127768.17687091086</v>
      </c>
      <c r="H56" s="256">
        <v>444084.08298855554</v>
      </c>
      <c r="I56" s="175">
        <v>91537.352807541654</v>
      </c>
      <c r="J56" s="406">
        <f>$C56*Allocations!$B$16</f>
        <v>561376.07937506167</v>
      </c>
      <c r="K56" s="407">
        <f>$C56*Allocations!$B$24</f>
        <v>113564.3644050304</v>
      </c>
      <c r="L56" s="254">
        <f t="shared" si="8"/>
        <v>2129782.641053678</v>
      </c>
      <c r="M56" s="175">
        <f t="shared" si="9"/>
        <v>532445.66</v>
      </c>
      <c r="N56" s="264">
        <v>850977.55728961085</v>
      </c>
      <c r="O56" s="271">
        <f t="shared" si="13"/>
        <v>1525918.0010697029</v>
      </c>
      <c r="P56" s="256">
        <f t="shared" si="14"/>
        <v>0</v>
      </c>
      <c r="Q56" s="257">
        <f t="shared" si="15"/>
        <v>0</v>
      </c>
      <c r="R56" s="347"/>
      <c r="S56" s="348"/>
      <c r="T56" s="348">
        <f>Johnson!C5</f>
        <v>970101.6</v>
      </c>
      <c r="U56" s="349">
        <f>Johnson!D5</f>
        <v>970101.6</v>
      </c>
      <c r="V56" s="362">
        <f>'Project Final Cost Tracking'!C55</f>
        <v>21194.440000000177</v>
      </c>
      <c r="W56" s="375">
        <f t="shared" si="10"/>
        <v>1504723.5610697027</v>
      </c>
      <c r="X56" s="374">
        <f t="shared" si="16"/>
        <v>2.8260603365040153</v>
      </c>
      <c r="Y56" s="375">
        <f t="shared" si="11"/>
        <v>4541955.5580801172</v>
      </c>
      <c r="Z56" s="376">
        <f t="shared" si="17"/>
        <v>0</v>
      </c>
      <c r="AA56" s="256">
        <f t="shared" si="18"/>
        <v>674940.44378009206</v>
      </c>
      <c r="AB56" s="276">
        <f t="shared" si="12"/>
        <v>9.7817051593350971E-3</v>
      </c>
      <c r="AC56" s="257">
        <f t="shared" si="19"/>
        <v>0</v>
      </c>
      <c r="AD56" s="255">
        <f>$C56*Allocations!$B$16</f>
        <v>561376.07937506167</v>
      </c>
      <c r="AE56" s="259">
        <f>$C56*Allocations!$B$24</f>
        <v>113564.3644050304</v>
      </c>
      <c r="AF56" s="441">
        <f t="shared" si="20"/>
        <v>1504723.5610697027</v>
      </c>
      <c r="AG56" s="163"/>
      <c r="AH56" s="151"/>
      <c r="AI56" s="161"/>
      <c r="AJ56" s="156"/>
      <c r="AK56" s="155"/>
      <c r="AL56" s="156"/>
      <c r="AM56" s="161"/>
      <c r="AN56" s="156"/>
      <c r="AO56" s="155"/>
      <c r="AP56" s="176"/>
      <c r="AQ56" s="155"/>
      <c r="AR56" s="156"/>
      <c r="AS56" s="155"/>
      <c r="AT56" s="156"/>
      <c r="AU56" s="155"/>
      <c r="AV56" s="156"/>
      <c r="AW56" s="155"/>
      <c r="AX56" s="156"/>
      <c r="AY56" s="158"/>
      <c r="AZ56" s="151"/>
      <c r="BA56" s="155"/>
      <c r="BB56" s="156"/>
      <c r="BC56" s="159"/>
      <c r="BD56" s="160"/>
      <c r="BE56" s="189"/>
      <c r="BF56" s="186"/>
    </row>
    <row r="57" spans="1:58" s="31" customFormat="1" ht="12.75">
      <c r="A57" s="100" t="s">
        <v>54</v>
      </c>
      <c r="B57" s="48">
        <v>53</v>
      </c>
      <c r="C57" s="266">
        <v>4.4437505954626807E-3</v>
      </c>
      <c r="D57" s="254">
        <v>187005.57136350177</v>
      </c>
      <c r="E57" s="254">
        <v>181613.2254534555</v>
      </c>
      <c r="F57" s="255">
        <v>84226.443137755326</v>
      </c>
      <c r="G57" s="254">
        <v>73187.066204540635</v>
      </c>
      <c r="H57" s="256">
        <v>263045.28782982763</v>
      </c>
      <c r="I57" s="175">
        <v>54220.518678353073</v>
      </c>
      <c r="J57" s="406">
        <f>$C57*Allocations!$B$16</f>
        <v>255028.67305509798</v>
      </c>
      <c r="K57" s="407">
        <f>$C57*Allocations!$B$24</f>
        <v>51591.384500746695</v>
      </c>
      <c r="L57" s="254">
        <f t="shared" si="8"/>
        <v>1149918.1702232785</v>
      </c>
      <c r="M57" s="175">
        <f t="shared" si="9"/>
        <v>287479.53999999998</v>
      </c>
      <c r="N57" s="264">
        <v>508164.28601881297</v>
      </c>
      <c r="O57" s="271">
        <f t="shared" si="13"/>
        <v>814784.34357465769</v>
      </c>
      <c r="P57" s="256">
        <f t="shared" si="14"/>
        <v>0</v>
      </c>
      <c r="Q57" s="257">
        <f t="shared" si="15"/>
        <v>0</v>
      </c>
      <c r="R57" s="347"/>
      <c r="S57" s="348"/>
      <c r="T57" s="348"/>
      <c r="U57" s="349"/>
      <c r="V57" s="362">
        <f>'Project Final Cost Tracking'!C56</f>
        <v>0</v>
      </c>
      <c r="W57" s="375">
        <f t="shared" si="10"/>
        <v>814784.34357465769</v>
      </c>
      <c r="X57" s="374">
        <f t="shared" si="16"/>
        <v>2.8342341982829726</v>
      </c>
      <c r="Y57" s="375">
        <f t="shared" si="11"/>
        <v>2194574.6025759587</v>
      </c>
      <c r="Z57" s="376">
        <f t="shared" si="17"/>
        <v>0</v>
      </c>
      <c r="AA57" s="256">
        <f t="shared" si="18"/>
        <v>306620.05755584466</v>
      </c>
      <c r="AB57" s="276">
        <f t="shared" si="12"/>
        <v>4.4437505954626807E-3</v>
      </c>
      <c r="AC57" s="257">
        <f t="shared" si="19"/>
        <v>0</v>
      </c>
      <c r="AD57" s="255">
        <f>$C57*Allocations!$B$16</f>
        <v>255028.67305509798</v>
      </c>
      <c r="AE57" s="259">
        <f>$C57*Allocations!$B$24</f>
        <v>51591.384500746695</v>
      </c>
      <c r="AF57" s="441">
        <f t="shared" si="20"/>
        <v>814784.34357465769</v>
      </c>
      <c r="AG57" s="163"/>
      <c r="AH57" s="151"/>
      <c r="AI57" s="161"/>
      <c r="AJ57" s="156"/>
      <c r="AK57" s="155"/>
      <c r="AL57" s="156"/>
      <c r="AM57" s="161"/>
      <c r="AN57" s="156"/>
      <c r="AO57" s="155"/>
      <c r="AP57" s="156"/>
      <c r="AQ57" s="155"/>
      <c r="AR57" s="156"/>
      <c r="AS57" s="155"/>
      <c r="AT57" s="156"/>
      <c r="AU57" s="155"/>
      <c r="AV57" s="156"/>
      <c r="AW57" s="155"/>
      <c r="AX57" s="156"/>
      <c r="AY57" s="158"/>
      <c r="AZ57" s="151"/>
      <c r="BA57" s="155"/>
      <c r="BB57" s="156"/>
      <c r="BC57" s="159"/>
      <c r="BD57" s="160"/>
      <c r="BE57" s="189"/>
      <c r="BF57" s="186"/>
    </row>
    <row r="58" spans="1:58" s="31" customFormat="1" ht="12.75">
      <c r="A58" s="100" t="s">
        <v>55</v>
      </c>
      <c r="B58" s="48">
        <v>54</v>
      </c>
      <c r="C58" s="266">
        <v>7.2643862610748166E-3</v>
      </c>
      <c r="D58" s="254">
        <v>248083.14041246849</v>
      </c>
      <c r="E58" s="254">
        <v>224793.41167479806</v>
      </c>
      <c r="F58" s="255">
        <v>104252.04144079123</v>
      </c>
      <c r="G58" s="254">
        <v>90587.952840496044</v>
      </c>
      <c r="H58" s="256">
        <v>414204.23477036942</v>
      </c>
      <c r="I58" s="175">
        <v>85378.334024933356</v>
      </c>
      <c r="J58" s="406">
        <f>$C58*Allocations!$B$16</f>
        <v>416906.11318583705</v>
      </c>
      <c r="K58" s="407">
        <f>$C58*Allocations!$B$24</f>
        <v>84338.609178409723</v>
      </c>
      <c r="L58" s="254">
        <f t="shared" si="8"/>
        <v>1668543.8375281033</v>
      </c>
      <c r="M58" s="175">
        <f t="shared" si="9"/>
        <v>417135.96</v>
      </c>
      <c r="N58" s="264">
        <v>-835829.93192859972</v>
      </c>
      <c r="O58" s="271">
        <f t="shared" si="13"/>
        <v>-334585.20956435293</v>
      </c>
      <c r="P58" s="256">
        <f t="shared" si="14"/>
        <v>0</v>
      </c>
      <c r="Q58" s="257">
        <f t="shared" si="15"/>
        <v>0</v>
      </c>
      <c r="R58" s="347"/>
      <c r="S58" s="348"/>
      <c r="T58" s="348"/>
      <c r="U58" s="349"/>
      <c r="V58" s="362">
        <f>'Project Final Cost Tracking'!C57</f>
        <v>-11348.300000000047</v>
      </c>
      <c r="W58" s="375">
        <f t="shared" si="10"/>
        <v>-323236.90956435289</v>
      </c>
      <c r="X58" s="374">
        <f t="shared" si="16"/>
        <v>-0.77489581469876845</v>
      </c>
      <c r="Y58" s="375">
        <f t="shared" si="11"/>
        <v>1932364.3410747575</v>
      </c>
      <c r="Z58" s="376">
        <f t="shared" si="17"/>
        <v>0</v>
      </c>
      <c r="AA58" s="256">
        <f t="shared" si="18"/>
        <v>501244.72236424679</v>
      </c>
      <c r="AB58" s="276">
        <f t="shared" si="12"/>
        <v>7.2643862610748174E-3</v>
      </c>
      <c r="AC58" s="257">
        <f t="shared" si="19"/>
        <v>0</v>
      </c>
      <c r="AD58" s="255">
        <f>$C58*Allocations!$B$16</f>
        <v>416906.11318583705</v>
      </c>
      <c r="AE58" s="259">
        <f>$C58*Allocations!$B$24</f>
        <v>84338.609178409723</v>
      </c>
      <c r="AF58" s="441">
        <f t="shared" si="20"/>
        <v>-323236.90956435289</v>
      </c>
      <c r="AG58" s="163"/>
      <c r="AH58" s="151"/>
      <c r="AI58" s="161"/>
      <c r="AJ58" s="156"/>
      <c r="AK58" s="155"/>
      <c r="AL58" s="156"/>
      <c r="AM58" s="161"/>
      <c r="AN58" s="156"/>
      <c r="AO58" s="155"/>
      <c r="AP58" s="156"/>
      <c r="AQ58" s="155"/>
      <c r="AR58" s="156"/>
      <c r="AS58" s="155"/>
      <c r="AT58" s="156"/>
      <c r="AU58" s="155"/>
      <c r="AV58" s="156"/>
      <c r="AW58" s="155"/>
      <c r="AX58" s="156"/>
      <c r="AY58" s="158"/>
      <c r="AZ58" s="151"/>
      <c r="BA58" s="155"/>
      <c r="BB58" s="156"/>
      <c r="BC58" s="159"/>
      <c r="BD58" s="160"/>
      <c r="BE58" s="189"/>
      <c r="BF58" s="186"/>
    </row>
    <row r="59" spans="1:58" s="31" customFormat="1" ht="12.75">
      <c r="A59" s="101" t="s">
        <v>56</v>
      </c>
      <c r="B59" s="47">
        <v>55</v>
      </c>
      <c r="C59" s="267">
        <v>1.2735573227766646E-2</v>
      </c>
      <c r="D59" s="258">
        <v>473266.55920209718</v>
      </c>
      <c r="E59" s="258">
        <v>441519.29113143007</v>
      </c>
      <c r="F59" s="247">
        <v>204762.61778762369</v>
      </c>
      <c r="G59" s="258">
        <v>177924.82628914734</v>
      </c>
      <c r="H59" s="332">
        <v>627686.64045986079</v>
      </c>
      <c r="I59" s="178">
        <v>129382.64545238281</v>
      </c>
      <c r="J59" s="408">
        <f>$C59*Allocations!$B$16</f>
        <v>730899.78186212445</v>
      </c>
      <c r="K59" s="409">
        <f>$C59*Allocations!$B$24</f>
        <v>147858.40049214405</v>
      </c>
      <c r="L59" s="258">
        <f t="shared" si="8"/>
        <v>2933300.7626768108</v>
      </c>
      <c r="M59" s="178">
        <f t="shared" si="9"/>
        <v>733325.19</v>
      </c>
      <c r="N59" s="265">
        <v>-863632.89312978229</v>
      </c>
      <c r="O59" s="377">
        <f t="shared" si="13"/>
        <v>15125.289224486216</v>
      </c>
      <c r="P59" s="332">
        <f t="shared" si="14"/>
        <v>653836.69999999995</v>
      </c>
      <c r="Q59" s="378">
        <f t="shared" si="15"/>
        <v>653836.69999999995</v>
      </c>
      <c r="R59" s="379">
        <f>Kossuth!C9+Kossuth!C10</f>
        <v>1370801</v>
      </c>
      <c r="S59" s="380">
        <f>Kossuth!D9+Kossuth!D10</f>
        <v>1370801</v>
      </c>
      <c r="T59" s="380"/>
      <c r="U59" s="381"/>
      <c r="V59" s="198">
        <f>'Project Final Cost Tracking'!C58</f>
        <v>-105805.71999999986</v>
      </c>
      <c r="W59" s="383">
        <f t="shared" si="10"/>
        <v>-532905.69077551388</v>
      </c>
      <c r="X59" s="382">
        <f t="shared" si="16"/>
        <v>-0.72669764797730996</v>
      </c>
      <c r="Y59" s="383">
        <f t="shared" si="11"/>
        <v>3421506.1298186947</v>
      </c>
      <c r="Z59" s="384">
        <f t="shared" si="17"/>
        <v>0</v>
      </c>
      <c r="AA59" s="332">
        <f t="shared" si="18"/>
        <v>878758.1823542685</v>
      </c>
      <c r="AB59" s="385">
        <f t="shared" si="12"/>
        <v>1.2735573227766646E-2</v>
      </c>
      <c r="AC59" s="378">
        <f t="shared" si="19"/>
        <v>0</v>
      </c>
      <c r="AD59" s="247">
        <f>$C59*Allocations!$B$16</f>
        <v>730899.78186212445</v>
      </c>
      <c r="AE59" s="260">
        <f>$C59*Allocations!$B$24</f>
        <v>147858.40049214405</v>
      </c>
      <c r="AF59" s="442">
        <f t="shared" si="20"/>
        <v>-532905.69077551388</v>
      </c>
      <c r="AG59" s="172"/>
      <c r="AH59" s="169"/>
      <c r="AI59" s="184">
        <f>Kossuth!C8</f>
        <v>653836.69999999995</v>
      </c>
      <c r="AJ59" s="167">
        <f>Kossuth!D8</f>
        <v>653836.69999999995</v>
      </c>
      <c r="AK59" s="166"/>
      <c r="AL59" s="167"/>
      <c r="AM59" s="184"/>
      <c r="AN59" s="167"/>
      <c r="AO59" s="166"/>
      <c r="AP59" s="167"/>
      <c r="AQ59" s="166"/>
      <c r="AR59" s="167"/>
      <c r="AS59" s="166"/>
      <c r="AT59" s="167"/>
      <c r="AU59" s="166"/>
      <c r="AV59" s="167"/>
      <c r="AW59" s="166"/>
      <c r="AX59" s="167"/>
      <c r="AY59" s="168"/>
      <c r="AZ59" s="169"/>
      <c r="BA59" s="166"/>
      <c r="BB59" s="167"/>
      <c r="BC59" s="170"/>
      <c r="BD59" s="171"/>
      <c r="BE59" s="190"/>
      <c r="BF59" s="186"/>
    </row>
    <row r="60" spans="1:58" s="31" customFormat="1" ht="12.75">
      <c r="A60" s="100" t="s">
        <v>57</v>
      </c>
      <c r="B60" s="48">
        <v>56</v>
      </c>
      <c r="C60" s="266">
        <v>5.8481774885000551E-3</v>
      </c>
      <c r="D60" s="254">
        <v>246109.55087037836</v>
      </c>
      <c r="E60" s="254">
        <v>246301.23182494039</v>
      </c>
      <c r="F60" s="255">
        <v>114226.68500746967</v>
      </c>
      <c r="G60" s="254">
        <v>99255.241543252079</v>
      </c>
      <c r="H60" s="256">
        <v>371153.39069971011</v>
      </c>
      <c r="I60" s="175">
        <v>76504.428264028247</v>
      </c>
      <c r="J60" s="406">
        <f>$C60*Allocations!$B$16</f>
        <v>335629.30966596591</v>
      </c>
      <c r="K60" s="407">
        <f>$C60*Allocations!$B$24</f>
        <v>67896.603771122085</v>
      </c>
      <c r="L60" s="254">
        <f t="shared" si="8"/>
        <v>1557076.4416468667</v>
      </c>
      <c r="M60" s="175">
        <f t="shared" si="9"/>
        <v>389269.11</v>
      </c>
      <c r="N60" s="264">
        <v>547370.28608226625</v>
      </c>
      <c r="O60" s="271">
        <f t="shared" si="13"/>
        <v>950896.19951935427</v>
      </c>
      <c r="P60" s="256">
        <f t="shared" si="14"/>
        <v>0</v>
      </c>
      <c r="Q60" s="257">
        <f t="shared" si="15"/>
        <v>0</v>
      </c>
      <c r="R60" s="347"/>
      <c r="S60" s="348"/>
      <c r="T60" s="348"/>
      <c r="U60" s="349"/>
      <c r="V60" s="362">
        <f>'Project Final Cost Tracking'!C59</f>
        <v>2747.6500000000233</v>
      </c>
      <c r="W60" s="375">
        <f t="shared" si="10"/>
        <v>948148.54951935424</v>
      </c>
      <c r="X60" s="374">
        <f t="shared" si="16"/>
        <v>2.4357148439529515</v>
      </c>
      <c r="Y60" s="375">
        <f t="shared" si="11"/>
        <v>2764015.1599862501</v>
      </c>
      <c r="Z60" s="376">
        <f t="shared" si="17"/>
        <v>0</v>
      </c>
      <c r="AA60" s="256">
        <f t="shared" si="18"/>
        <v>403525.91343708802</v>
      </c>
      <c r="AB60" s="276">
        <f t="shared" si="12"/>
        <v>5.8481774885000551E-3</v>
      </c>
      <c r="AC60" s="257">
        <f t="shared" si="19"/>
        <v>0</v>
      </c>
      <c r="AD60" s="255">
        <f>$C60*Allocations!$B$16</f>
        <v>335629.30966596591</v>
      </c>
      <c r="AE60" s="259">
        <f>$C60*Allocations!$B$24</f>
        <v>67896.603771122085</v>
      </c>
      <c r="AF60" s="441">
        <f t="shared" si="20"/>
        <v>948148.54951935424</v>
      </c>
      <c r="AG60" s="163"/>
      <c r="AH60" s="151"/>
      <c r="AI60" s="161"/>
      <c r="AJ60" s="156"/>
      <c r="AK60" s="155"/>
      <c r="AL60" s="156"/>
      <c r="AM60" s="161"/>
      <c r="AN60" s="156"/>
      <c r="AO60" s="155"/>
      <c r="AP60" s="156"/>
      <c r="AQ60" s="155"/>
      <c r="AR60" s="156"/>
      <c r="AS60" s="155"/>
      <c r="AT60" s="156"/>
      <c r="AU60" s="155"/>
      <c r="AV60" s="156"/>
      <c r="AW60" s="155"/>
      <c r="AX60" s="156"/>
      <c r="AY60" s="158"/>
      <c r="AZ60" s="151"/>
      <c r="BA60" s="155"/>
      <c r="BB60" s="156"/>
      <c r="BC60" s="159"/>
      <c r="BD60" s="160"/>
      <c r="BE60" s="189"/>
      <c r="BF60" s="186"/>
    </row>
    <row r="61" spans="1:58" s="31" customFormat="1" ht="12.75">
      <c r="A61" s="100" t="s">
        <v>58</v>
      </c>
      <c r="B61" s="48">
        <v>57</v>
      </c>
      <c r="C61" s="266">
        <v>1.1956328610054068E-2</v>
      </c>
      <c r="D61" s="254">
        <v>353787.0214572507</v>
      </c>
      <c r="E61" s="254">
        <v>349260.27223091206</v>
      </c>
      <c r="F61" s="255">
        <v>161975.81638608663</v>
      </c>
      <c r="G61" s="254">
        <v>140745.99799963686</v>
      </c>
      <c r="H61" s="256">
        <v>680699.65945273079</v>
      </c>
      <c r="I61" s="175">
        <v>140310.01621128549</v>
      </c>
      <c r="J61" s="406">
        <f>$C61*Allocations!$B$16</f>
        <v>686178.61298206169</v>
      </c>
      <c r="K61" s="407">
        <f>$C61*Allocations!$B$24</f>
        <v>138811.46866532287</v>
      </c>
      <c r="L61" s="254">
        <f t="shared" si="8"/>
        <v>2651768.865385287</v>
      </c>
      <c r="M61" s="175">
        <f t="shared" si="9"/>
        <v>662942.22</v>
      </c>
      <c r="N61" s="264">
        <v>876403.6489604282</v>
      </c>
      <c r="O61" s="271">
        <f t="shared" si="13"/>
        <v>1701393.7306078128</v>
      </c>
      <c r="P61" s="256">
        <f t="shared" si="14"/>
        <v>210874</v>
      </c>
      <c r="Q61" s="257">
        <f t="shared" si="15"/>
        <v>210874</v>
      </c>
      <c r="R61" s="347"/>
      <c r="S61" s="348"/>
      <c r="T61" s="348"/>
      <c r="U61" s="349"/>
      <c r="V61" s="362">
        <f>'Project Final Cost Tracking'!C60</f>
        <v>6403.7800000000279</v>
      </c>
      <c r="W61" s="375">
        <f t="shared" si="10"/>
        <v>1484115.9506078127</v>
      </c>
      <c r="X61" s="374">
        <f t="shared" si="16"/>
        <v>2.2386806961967407</v>
      </c>
      <c r="Y61" s="375">
        <f t="shared" si="11"/>
        <v>5196571.3180210432</v>
      </c>
      <c r="Z61" s="376">
        <f t="shared" si="17"/>
        <v>0</v>
      </c>
      <c r="AA61" s="256">
        <f t="shared" si="18"/>
        <v>824990.08164738456</v>
      </c>
      <c r="AB61" s="276">
        <f t="shared" si="12"/>
        <v>1.1956328610054068E-2</v>
      </c>
      <c r="AC61" s="257">
        <f t="shared" si="19"/>
        <v>0</v>
      </c>
      <c r="AD61" s="255">
        <f>$C61*Allocations!$B$16</f>
        <v>686178.61298206169</v>
      </c>
      <c r="AE61" s="259">
        <f>$C61*Allocations!$B$24</f>
        <v>138811.46866532287</v>
      </c>
      <c r="AF61" s="441">
        <f t="shared" si="20"/>
        <v>1484115.9506078127</v>
      </c>
      <c r="AG61" s="163"/>
      <c r="AH61" s="151"/>
      <c r="AI61" s="161"/>
      <c r="AJ61" s="156"/>
      <c r="AK61" s="155">
        <f>Linn!C4</f>
        <v>210874</v>
      </c>
      <c r="AL61" s="156">
        <f>Linn!D4</f>
        <v>210874</v>
      </c>
      <c r="AM61" s="161"/>
      <c r="AN61" s="156"/>
      <c r="AO61" s="155"/>
      <c r="AP61" s="156"/>
      <c r="AQ61" s="155"/>
      <c r="AR61" s="156"/>
      <c r="AS61" s="155"/>
      <c r="AT61" s="156"/>
      <c r="AU61" s="155"/>
      <c r="AV61" s="156"/>
      <c r="AW61" s="155"/>
      <c r="AX61" s="156"/>
      <c r="AY61" s="158"/>
      <c r="AZ61" s="151"/>
      <c r="BA61" s="155"/>
      <c r="BB61" s="156"/>
      <c r="BC61" s="159"/>
      <c r="BD61" s="160"/>
      <c r="BE61" s="189"/>
      <c r="BF61" s="186"/>
    </row>
    <row r="62" spans="1:58" s="31" customFormat="1" ht="12.75">
      <c r="A62" s="100" t="s">
        <v>59</v>
      </c>
      <c r="B62" s="48">
        <v>58</v>
      </c>
      <c r="C62" s="266">
        <v>4.4648848755327103E-3</v>
      </c>
      <c r="D62" s="254">
        <v>319493.05488198902</v>
      </c>
      <c r="E62" s="254">
        <v>145849.66850005285</v>
      </c>
      <c r="F62" s="255">
        <v>67640.441823045854</v>
      </c>
      <c r="G62" s="254">
        <v>58774.956051641318</v>
      </c>
      <c r="H62" s="256">
        <v>269193.98314521066</v>
      </c>
      <c r="I62" s="175">
        <v>55487.925716683705</v>
      </c>
      <c r="J62" s="406">
        <f>$C62*Allocations!$B$16</f>
        <v>256241.57807450608</v>
      </c>
      <c r="K62" s="407">
        <f>$C62*Allocations!$B$24</f>
        <v>51836.750829440447</v>
      </c>
      <c r="L62" s="254">
        <f t="shared" si="8"/>
        <v>1224518.3590225701</v>
      </c>
      <c r="M62" s="175">
        <f t="shared" si="9"/>
        <v>306129.59000000003</v>
      </c>
      <c r="N62" s="264">
        <v>-1662247.3959211416</v>
      </c>
      <c r="O62" s="271">
        <f t="shared" si="13"/>
        <v>-1354169.067017195</v>
      </c>
      <c r="P62" s="256">
        <f t="shared" si="14"/>
        <v>0</v>
      </c>
      <c r="Q62" s="257">
        <f t="shared" si="15"/>
        <v>0</v>
      </c>
      <c r="R62" s="347"/>
      <c r="S62" s="348"/>
      <c r="T62" s="348"/>
      <c r="U62" s="349"/>
      <c r="V62" s="362">
        <f>'Project Final Cost Tracking'!C61</f>
        <v>-12073.5</v>
      </c>
      <c r="W62" s="375">
        <f t="shared" si="10"/>
        <v>-1342095.567017195</v>
      </c>
      <c r="X62" s="374">
        <f t="shared" si="16"/>
        <v>-4.3840765834403497</v>
      </c>
      <c r="Y62" s="375">
        <f t="shared" si="11"/>
        <v>44256.913050564239</v>
      </c>
      <c r="Z62" s="376">
        <f t="shared" si="17"/>
        <v>0</v>
      </c>
      <c r="AA62" s="256">
        <f t="shared" si="18"/>
        <v>308078.3289039465</v>
      </c>
      <c r="AB62" s="276">
        <f t="shared" si="12"/>
        <v>4.4648848755327094E-3</v>
      </c>
      <c r="AC62" s="257">
        <f t="shared" si="19"/>
        <v>0</v>
      </c>
      <c r="AD62" s="255">
        <f>$C62*Allocations!$B$16</f>
        <v>256241.57807450608</v>
      </c>
      <c r="AE62" s="259">
        <f>$C62*Allocations!$B$24</f>
        <v>51836.750829440447</v>
      </c>
      <c r="AF62" s="441">
        <f t="shared" si="20"/>
        <v>-1342095.567017195</v>
      </c>
      <c r="AG62" s="163"/>
      <c r="AH62" s="151"/>
      <c r="AI62" s="161"/>
      <c r="AJ62" s="156"/>
      <c r="AK62" s="155"/>
      <c r="AL62" s="156"/>
      <c r="AM62" s="161"/>
      <c r="AN62" s="156"/>
      <c r="AO62" s="155"/>
      <c r="AP62" s="156"/>
      <c r="AQ62" s="155"/>
      <c r="AR62" s="156"/>
      <c r="AS62" s="155"/>
      <c r="AT62" s="156"/>
      <c r="AU62" s="155"/>
      <c r="AV62" s="156"/>
      <c r="AW62" s="155"/>
      <c r="AX62" s="156"/>
      <c r="AY62" s="158"/>
      <c r="AZ62" s="151"/>
      <c r="BA62" s="155"/>
      <c r="BB62" s="156"/>
      <c r="BC62" s="159"/>
      <c r="BD62" s="160"/>
      <c r="BE62" s="189"/>
      <c r="BF62" s="186"/>
    </row>
    <row r="63" spans="1:58" s="31" customFormat="1" ht="12.75">
      <c r="A63" s="100" t="s">
        <v>60</v>
      </c>
      <c r="B63" s="48">
        <v>59</v>
      </c>
      <c r="C63" s="266">
        <v>6.6658486528209616E-3</v>
      </c>
      <c r="D63" s="254">
        <v>222830.587633758</v>
      </c>
      <c r="E63" s="254">
        <v>187468.23110781846</v>
      </c>
      <c r="F63" s="255">
        <v>86941.808715273917</v>
      </c>
      <c r="G63" s="254">
        <v>75546.534714523354</v>
      </c>
      <c r="H63" s="256">
        <v>329887.71738084283</v>
      </c>
      <c r="I63" s="175">
        <v>67998.492919510943</v>
      </c>
      <c r="J63" s="406">
        <f>$C63*Allocations!$B$16</f>
        <v>382555.79384919128</v>
      </c>
      <c r="K63" s="407">
        <f>$C63*Allocations!$B$24</f>
        <v>77389.662962321105</v>
      </c>
      <c r="L63" s="254">
        <f t="shared" si="8"/>
        <v>1430618.8292832398</v>
      </c>
      <c r="M63" s="175">
        <f t="shared" si="9"/>
        <v>357654.71</v>
      </c>
      <c r="N63" s="264">
        <v>406939.03913955926</v>
      </c>
      <c r="O63" s="271">
        <f t="shared" si="13"/>
        <v>866884.49595107161</v>
      </c>
      <c r="P63" s="256">
        <f t="shared" si="14"/>
        <v>0</v>
      </c>
      <c r="Q63" s="257">
        <f t="shared" si="15"/>
        <v>0</v>
      </c>
      <c r="R63" s="347"/>
      <c r="S63" s="348"/>
      <c r="T63" s="348"/>
      <c r="U63" s="349"/>
      <c r="V63" s="362">
        <f>'Project Final Cost Tracking'!C62</f>
        <v>4157.7600000000093</v>
      </c>
      <c r="W63" s="375">
        <f t="shared" si="10"/>
        <v>862726.73595107161</v>
      </c>
      <c r="X63" s="374">
        <f t="shared" si="16"/>
        <v>2.4121777564485911</v>
      </c>
      <c r="Y63" s="375">
        <f t="shared" si="11"/>
        <v>2932481.291602877</v>
      </c>
      <c r="Z63" s="376">
        <f t="shared" si="17"/>
        <v>0</v>
      </c>
      <c r="AA63" s="256">
        <f t="shared" si="18"/>
        <v>459945.45681151235</v>
      </c>
      <c r="AB63" s="276">
        <f t="shared" si="12"/>
        <v>6.6658486528209607E-3</v>
      </c>
      <c r="AC63" s="257">
        <f t="shared" si="19"/>
        <v>0</v>
      </c>
      <c r="AD63" s="255">
        <f>$C63*Allocations!$B$16</f>
        <v>382555.79384919128</v>
      </c>
      <c r="AE63" s="259">
        <f>$C63*Allocations!$B$24</f>
        <v>77389.662962321105</v>
      </c>
      <c r="AF63" s="441">
        <f t="shared" si="20"/>
        <v>862726.73595107161</v>
      </c>
      <c r="AG63" s="163"/>
      <c r="AH63" s="151"/>
      <c r="AI63" s="161"/>
      <c r="AJ63" s="156"/>
      <c r="AK63" s="155"/>
      <c r="AL63" s="156"/>
      <c r="AM63" s="161"/>
      <c r="AN63" s="156"/>
      <c r="AO63" s="155"/>
      <c r="AP63" s="156"/>
      <c r="AQ63" s="155"/>
      <c r="AR63" s="156"/>
      <c r="AS63" s="155"/>
      <c r="AT63" s="156"/>
      <c r="AU63" s="155"/>
      <c r="AV63" s="156"/>
      <c r="AW63" s="155"/>
      <c r="AX63" s="156"/>
      <c r="AY63" s="158"/>
      <c r="AZ63" s="151"/>
      <c r="BA63" s="155"/>
      <c r="BB63" s="156"/>
      <c r="BC63" s="159"/>
      <c r="BD63" s="160"/>
      <c r="BE63" s="189"/>
      <c r="BF63" s="186"/>
    </row>
    <row r="64" spans="1:58" s="31" customFormat="1" ht="12.75">
      <c r="A64" s="101" t="s">
        <v>61</v>
      </c>
      <c r="B64" s="47">
        <v>60</v>
      </c>
      <c r="C64" s="267">
        <v>1.4540514628836548E-2</v>
      </c>
      <c r="D64" s="258">
        <v>457969.76860450063</v>
      </c>
      <c r="E64" s="258">
        <v>517909.03820763982</v>
      </c>
      <c r="F64" s="247">
        <v>240189.75516904105</v>
      </c>
      <c r="G64" s="258">
        <v>208708.60573392955</v>
      </c>
      <c r="H64" s="332">
        <v>814365.99987922062</v>
      </c>
      <c r="I64" s="178">
        <v>167862.14750987088</v>
      </c>
      <c r="J64" s="408">
        <f>$C64*Allocations!$B$16</f>
        <v>834486.11070044199</v>
      </c>
      <c r="K64" s="409">
        <f>$C64*Allocations!$B$24</f>
        <v>168813.5427359491</v>
      </c>
      <c r="L64" s="258">
        <f t="shared" si="8"/>
        <v>3410304.9685405935</v>
      </c>
      <c r="M64" s="178">
        <f t="shared" si="9"/>
        <v>852576.24</v>
      </c>
      <c r="N64" s="265">
        <v>-466095.43866608106</v>
      </c>
      <c r="O64" s="377">
        <f t="shared" si="13"/>
        <v>537204.21477031009</v>
      </c>
      <c r="P64" s="332">
        <f t="shared" si="14"/>
        <v>0</v>
      </c>
      <c r="Q64" s="378">
        <f t="shared" si="15"/>
        <v>0</v>
      </c>
      <c r="R64" s="379"/>
      <c r="S64" s="380"/>
      <c r="T64" s="380"/>
      <c r="U64" s="381"/>
      <c r="V64" s="198">
        <f>'Project Final Cost Tracking'!C63</f>
        <v>0</v>
      </c>
      <c r="W64" s="383">
        <f t="shared" si="10"/>
        <v>537204.21477031009</v>
      </c>
      <c r="X64" s="382">
        <f t="shared" si="16"/>
        <v>0.63009522147873853</v>
      </c>
      <c r="Y64" s="383">
        <f t="shared" si="11"/>
        <v>5052052.6552340705</v>
      </c>
      <c r="Z64" s="384">
        <f t="shared" si="17"/>
        <v>0</v>
      </c>
      <c r="AA64" s="332">
        <f t="shared" si="18"/>
        <v>1003299.6534363911</v>
      </c>
      <c r="AB64" s="385">
        <f t="shared" si="12"/>
        <v>1.454051462883655E-2</v>
      </c>
      <c r="AC64" s="378">
        <f t="shared" si="19"/>
        <v>0</v>
      </c>
      <c r="AD64" s="247">
        <f>$C64*Allocations!$B$16</f>
        <v>834486.11070044199</v>
      </c>
      <c r="AE64" s="260">
        <f>$C64*Allocations!$B$24</f>
        <v>168813.5427359491</v>
      </c>
      <c r="AF64" s="442">
        <f t="shared" si="20"/>
        <v>537204.21477031009</v>
      </c>
      <c r="AG64" s="172"/>
      <c r="AH64" s="169"/>
      <c r="AI64" s="184"/>
      <c r="AJ64" s="167"/>
      <c r="AK64" s="166"/>
      <c r="AL64" s="167"/>
      <c r="AM64" s="184"/>
      <c r="AN64" s="167"/>
      <c r="AO64" s="166"/>
      <c r="AP64" s="167"/>
      <c r="AQ64" s="166"/>
      <c r="AR64" s="167"/>
      <c r="AS64" s="166"/>
      <c r="AT64" s="167"/>
      <c r="AU64" s="166"/>
      <c r="AV64" s="167"/>
      <c r="AW64" s="166"/>
      <c r="AX64" s="167"/>
      <c r="AY64" s="168"/>
      <c r="AZ64" s="169"/>
      <c r="BA64" s="166"/>
      <c r="BB64" s="167"/>
      <c r="BC64" s="170"/>
      <c r="BD64" s="171"/>
      <c r="BE64" s="190"/>
      <c r="BF64" s="186"/>
    </row>
    <row r="65" spans="1:58" s="31" customFormat="1" ht="12.75">
      <c r="A65" s="100" t="s">
        <v>62</v>
      </c>
      <c r="B65" s="48">
        <v>61</v>
      </c>
      <c r="C65" s="266">
        <v>1.6613197424956518E-2</v>
      </c>
      <c r="D65" s="254">
        <v>674630.42225248227</v>
      </c>
      <c r="E65" s="254">
        <v>653037.72513339901</v>
      </c>
      <c r="F65" s="255">
        <v>302858.14640109293</v>
      </c>
      <c r="G65" s="254">
        <v>263163.18706453172</v>
      </c>
      <c r="H65" s="256">
        <v>1007890.993964509</v>
      </c>
      <c r="I65" s="175">
        <v>207752.7140472871</v>
      </c>
      <c r="J65" s="406">
        <f>$C65*Allocations!$B$16</f>
        <v>953438.22824239614</v>
      </c>
      <c r="K65" s="407">
        <f>$C65*Allocations!$B$24</f>
        <v>192877.12884086961</v>
      </c>
      <c r="L65" s="254">
        <f t="shared" si="8"/>
        <v>4255648.5459465673</v>
      </c>
      <c r="M65" s="175">
        <f t="shared" si="9"/>
        <v>1063912.1399999999</v>
      </c>
      <c r="N65" s="264">
        <v>-1162613.6586878928</v>
      </c>
      <c r="O65" s="271">
        <f t="shared" si="13"/>
        <v>-16298.301604627079</v>
      </c>
      <c r="P65" s="256">
        <f t="shared" si="14"/>
        <v>2462334.34</v>
      </c>
      <c r="Q65" s="257">
        <f t="shared" si="15"/>
        <v>1462334.34</v>
      </c>
      <c r="R65" s="347"/>
      <c r="S65" s="348"/>
      <c r="T65" s="348"/>
      <c r="U65" s="349"/>
      <c r="V65" s="362">
        <f>'Project Final Cost Tracking'!C64</f>
        <v>-117123.72999999998</v>
      </c>
      <c r="W65" s="375">
        <f t="shared" si="10"/>
        <v>-1361508.9116046273</v>
      </c>
      <c r="X65" s="374">
        <f t="shared" si="16"/>
        <v>-1.2797193117888732</v>
      </c>
      <c r="Y65" s="375">
        <f t="shared" si="11"/>
        <v>3796910.195270068</v>
      </c>
      <c r="Z65" s="376">
        <f t="shared" si="17"/>
        <v>0</v>
      </c>
      <c r="AA65" s="256">
        <f t="shared" si="18"/>
        <v>1146315.3570832657</v>
      </c>
      <c r="AB65" s="276">
        <f t="shared" si="12"/>
        <v>1.6613197424956514E-2</v>
      </c>
      <c r="AC65" s="257">
        <f t="shared" si="19"/>
        <v>0</v>
      </c>
      <c r="AD65" s="255">
        <f>$C65*Allocations!$B$16</f>
        <v>953438.22824239614</v>
      </c>
      <c r="AE65" s="259">
        <f>$C65*Allocations!$B$24</f>
        <v>192877.12884086961</v>
      </c>
      <c r="AF65" s="441">
        <f t="shared" si="20"/>
        <v>-1361508.9116046273</v>
      </c>
      <c r="AG65" s="163">
        <f>Madison!C8</f>
        <v>2462334.34</v>
      </c>
      <c r="AH65" s="151">
        <f>Madison!D8</f>
        <v>1462334.34</v>
      </c>
      <c r="AI65" s="161"/>
      <c r="AJ65" s="156"/>
      <c r="AK65" s="155"/>
      <c r="AL65" s="156"/>
      <c r="AM65" s="161"/>
      <c r="AN65" s="156"/>
      <c r="AO65" s="155"/>
      <c r="AP65" s="156"/>
      <c r="AQ65" s="155"/>
      <c r="AR65" s="156"/>
      <c r="AS65" s="155"/>
      <c r="AT65" s="156"/>
      <c r="AU65" s="155"/>
      <c r="AV65" s="156"/>
      <c r="AW65" s="155"/>
      <c r="AX65" s="156"/>
      <c r="AY65" s="158"/>
      <c r="AZ65" s="151"/>
      <c r="BA65" s="155"/>
      <c r="BB65" s="156"/>
      <c r="BC65" s="159"/>
      <c r="BD65" s="160"/>
      <c r="BE65" s="189"/>
      <c r="BF65" s="186"/>
    </row>
    <row r="66" spans="1:58" s="31" customFormat="1" ht="12.75">
      <c r="A66" s="100" t="s">
        <v>63</v>
      </c>
      <c r="B66" s="48">
        <v>62</v>
      </c>
      <c r="C66" s="266">
        <v>1.6215622264504612E-2</v>
      </c>
      <c r="D66" s="254">
        <v>517818.6656951367</v>
      </c>
      <c r="E66" s="254">
        <v>535284.6118818596</v>
      </c>
      <c r="F66" s="255">
        <v>248247.99412385008</v>
      </c>
      <c r="G66" s="254">
        <v>215710.66881420286</v>
      </c>
      <c r="H66" s="256">
        <v>940994.96383804805</v>
      </c>
      <c r="I66" s="175">
        <v>193963.69132460692</v>
      </c>
      <c r="J66" s="406">
        <f>$C66*Allocations!$B$16</f>
        <v>930621.22638067033</v>
      </c>
      <c r="K66" s="407">
        <f>$C66*Allocations!$B$24</f>
        <v>188261.33132249321</v>
      </c>
      <c r="L66" s="254">
        <f t="shared" si="8"/>
        <v>3770903.1533808676</v>
      </c>
      <c r="M66" s="175">
        <f t="shared" si="9"/>
        <v>942725.79</v>
      </c>
      <c r="N66" s="264">
        <v>2451573.2226402177</v>
      </c>
      <c r="O66" s="271">
        <f t="shared" si="13"/>
        <v>3570455.7803433812</v>
      </c>
      <c r="P66" s="256">
        <f t="shared" si="14"/>
        <v>2878038.12</v>
      </c>
      <c r="Q66" s="257">
        <f t="shared" si="15"/>
        <v>2878038.12</v>
      </c>
      <c r="R66" s="347"/>
      <c r="S66" s="348"/>
      <c r="T66" s="348"/>
      <c r="U66" s="349"/>
      <c r="V66" s="362">
        <f>'Project Final Cost Tracking'!C65</f>
        <v>0</v>
      </c>
      <c r="W66" s="375">
        <f t="shared" si="10"/>
        <v>692417.66034338111</v>
      </c>
      <c r="X66" s="374">
        <f t="shared" si="16"/>
        <v>0.73448469076398248</v>
      </c>
      <c r="Y66" s="375">
        <f t="shared" si="11"/>
        <v>5727389.1700076163</v>
      </c>
      <c r="Z66" s="376">
        <f t="shared" si="17"/>
        <v>0</v>
      </c>
      <c r="AA66" s="256">
        <f t="shared" si="18"/>
        <v>1118882.5577031635</v>
      </c>
      <c r="AB66" s="276">
        <f t="shared" si="12"/>
        <v>1.6215622264504612E-2</v>
      </c>
      <c r="AC66" s="257">
        <f t="shared" si="19"/>
        <v>0</v>
      </c>
      <c r="AD66" s="255">
        <f>$C66*Allocations!$B$16</f>
        <v>930621.22638067033</v>
      </c>
      <c r="AE66" s="259">
        <f>$C66*Allocations!$B$24</f>
        <v>188261.33132249321</v>
      </c>
      <c r="AF66" s="441">
        <f t="shared" si="20"/>
        <v>692417.66034338111</v>
      </c>
      <c r="AG66" s="163"/>
      <c r="AH66" s="151"/>
      <c r="AI66" s="161"/>
      <c r="AJ66" s="156"/>
      <c r="AK66" s="155"/>
      <c r="AL66" s="156"/>
      <c r="AM66" s="161"/>
      <c r="AN66" s="156"/>
      <c r="AO66" s="155"/>
      <c r="AP66" s="156"/>
      <c r="AQ66" s="155"/>
      <c r="AR66" s="156"/>
      <c r="AS66" s="155"/>
      <c r="AT66" s="156"/>
      <c r="AU66" s="155"/>
      <c r="AV66" s="156"/>
      <c r="AW66" s="155"/>
      <c r="AX66" s="156"/>
      <c r="AY66" s="158"/>
      <c r="AZ66" s="151"/>
      <c r="BA66" s="155"/>
      <c r="BB66" s="156"/>
      <c r="BC66" s="159">
        <f>Mahaska!C5</f>
        <v>2878038.12</v>
      </c>
      <c r="BD66" s="160">
        <f>Mahaska!D5</f>
        <v>2878038.12</v>
      </c>
      <c r="BE66" s="189"/>
      <c r="BF66" s="186"/>
    </row>
    <row r="67" spans="1:58" s="31" customFormat="1" ht="12.75">
      <c r="A67" s="100" t="s">
        <v>64</v>
      </c>
      <c r="B67" s="48">
        <v>63</v>
      </c>
      <c r="C67" s="266">
        <v>8.3548537917287943E-3</v>
      </c>
      <c r="D67" s="254">
        <v>360081.51506291609</v>
      </c>
      <c r="E67" s="254">
        <v>312124.85164797393</v>
      </c>
      <c r="F67" s="255">
        <v>144753.58831147393</v>
      </c>
      <c r="G67" s="254">
        <v>125781.04994615112</v>
      </c>
      <c r="H67" s="256">
        <v>474310.33088873955</v>
      </c>
      <c r="I67" s="175">
        <v>97767.77363115552</v>
      </c>
      <c r="J67" s="406">
        <f>$C67*Allocations!$B$16</f>
        <v>479488.49295222393</v>
      </c>
      <c r="K67" s="407">
        <f>$C67*Allocations!$B$24</f>
        <v>96998.799810393539</v>
      </c>
      <c r="L67" s="254">
        <f t="shared" si="8"/>
        <v>2091306.4022510275</v>
      </c>
      <c r="M67" s="175">
        <f t="shared" si="9"/>
        <v>522826.6</v>
      </c>
      <c r="N67" s="264">
        <v>1419117.6271787751</v>
      </c>
      <c r="O67" s="271">
        <f t="shared" si="13"/>
        <v>1995604.9199413925</v>
      </c>
      <c r="P67" s="256">
        <f t="shared" si="14"/>
        <v>2862114.42</v>
      </c>
      <c r="Q67" s="257">
        <f t="shared" si="15"/>
        <v>2842114.42</v>
      </c>
      <c r="R67" s="347"/>
      <c r="S67" s="348"/>
      <c r="T67" s="348"/>
      <c r="U67" s="349"/>
      <c r="V67" s="362">
        <f>'Project Final Cost Tracking'!C66</f>
        <v>-46144.709999999963</v>
      </c>
      <c r="W67" s="375">
        <f t="shared" si="10"/>
        <v>-800364.79005860747</v>
      </c>
      <c r="X67" s="374">
        <f t="shared" si="16"/>
        <v>-1.5308417552944082</v>
      </c>
      <c r="Y67" s="375">
        <f t="shared" si="11"/>
        <v>1793828.0273731712</v>
      </c>
      <c r="Z67" s="376">
        <f t="shared" si="17"/>
        <v>0</v>
      </c>
      <c r="AA67" s="256">
        <f t="shared" si="18"/>
        <v>576487.29276261746</v>
      </c>
      <c r="AB67" s="276">
        <f t="shared" si="12"/>
        <v>8.3548537917287943E-3</v>
      </c>
      <c r="AC67" s="257">
        <f t="shared" si="19"/>
        <v>0</v>
      </c>
      <c r="AD67" s="255">
        <f>$C67*Allocations!$B$16</f>
        <v>479488.49295222393</v>
      </c>
      <c r="AE67" s="259">
        <f>$C67*Allocations!$B$24</f>
        <v>96998.799810393539</v>
      </c>
      <c r="AF67" s="441">
        <f t="shared" si="20"/>
        <v>-800364.79005860747</v>
      </c>
      <c r="AG67" s="163"/>
      <c r="AH67" s="151"/>
      <c r="AI67" s="161"/>
      <c r="AJ67" s="156"/>
      <c r="AK67" s="155"/>
      <c r="AL67" s="156"/>
      <c r="AM67" s="161"/>
      <c r="AN67" s="156"/>
      <c r="AO67" s="155"/>
      <c r="AP67" s="156"/>
      <c r="AQ67" s="155"/>
      <c r="AR67" s="156"/>
      <c r="AS67" s="155"/>
      <c r="AT67" s="156"/>
      <c r="AU67" s="155"/>
      <c r="AV67" s="156"/>
      <c r="AW67" s="155"/>
      <c r="AX67" s="156"/>
      <c r="AY67" s="158">
        <f>Marion!C5</f>
        <v>2862114.42</v>
      </c>
      <c r="AZ67" s="151">
        <f>Marion!D5</f>
        <v>2842114.42</v>
      </c>
      <c r="BA67" s="155"/>
      <c r="BB67" s="156"/>
      <c r="BC67" s="159"/>
      <c r="BD67" s="160"/>
      <c r="BE67" s="189"/>
      <c r="BF67" s="186"/>
    </row>
    <row r="68" spans="1:58" s="31" customFormat="1" ht="12.75">
      <c r="A68" s="100" t="s">
        <v>65</v>
      </c>
      <c r="B68" s="48">
        <v>64</v>
      </c>
      <c r="C68" s="266">
        <v>2.3702921060759698E-2</v>
      </c>
      <c r="D68" s="254">
        <v>680021.21948265855</v>
      </c>
      <c r="E68" s="254">
        <v>730555.43887551641</v>
      </c>
      <c r="F68" s="255">
        <v>338808.39888059936</v>
      </c>
      <c r="G68" s="254">
        <v>294401.51804788265</v>
      </c>
      <c r="H68" s="256">
        <v>1254121.3765483364</v>
      </c>
      <c r="I68" s="175">
        <v>258507.24064690998</v>
      </c>
      <c r="J68" s="406">
        <f>$C68*Allocations!$B$16</f>
        <v>1360320.3815775551</v>
      </c>
      <c r="K68" s="407">
        <f>$C68*Allocations!$B$24</f>
        <v>275187.92694736645</v>
      </c>
      <c r="L68" s="254">
        <f t="shared" si="8"/>
        <v>5191923.5010068249</v>
      </c>
      <c r="M68" s="175">
        <f t="shared" si="9"/>
        <v>1297980.8799999999</v>
      </c>
      <c r="N68" s="264">
        <v>870874.6013259152</v>
      </c>
      <c r="O68" s="271">
        <f t="shared" si="13"/>
        <v>2506382.9098508367</v>
      </c>
      <c r="P68" s="256">
        <f t="shared" si="14"/>
        <v>1427198.19</v>
      </c>
      <c r="Q68" s="257">
        <f t="shared" si="15"/>
        <v>1427198.19</v>
      </c>
      <c r="R68" s="347"/>
      <c r="S68" s="348"/>
      <c r="T68" s="348"/>
      <c r="U68" s="349"/>
      <c r="V68" s="362">
        <f>'Project Final Cost Tracking'!C67</f>
        <v>0</v>
      </c>
      <c r="W68" s="375">
        <f t="shared" si="10"/>
        <v>1079184.7198508368</v>
      </c>
      <c r="X68" s="374">
        <f t="shared" si="16"/>
        <v>0.83143344904343808</v>
      </c>
      <c r="Y68" s="375">
        <f t="shared" si="11"/>
        <v>8438972.1082129832</v>
      </c>
      <c r="Z68" s="376">
        <f t="shared" si="17"/>
        <v>0</v>
      </c>
      <c r="AA68" s="256">
        <f t="shared" si="18"/>
        <v>1635508.3085249215</v>
      </c>
      <c r="AB68" s="276">
        <f t="shared" si="12"/>
        <v>2.3702921060759698E-2</v>
      </c>
      <c r="AC68" s="257">
        <f t="shared" si="19"/>
        <v>0</v>
      </c>
      <c r="AD68" s="255">
        <f>$C68*Allocations!$B$16</f>
        <v>1360320.3815775551</v>
      </c>
      <c r="AE68" s="259">
        <f>$C68*Allocations!$B$24</f>
        <v>275187.92694736645</v>
      </c>
      <c r="AF68" s="441">
        <f t="shared" si="20"/>
        <v>1079184.7198508368</v>
      </c>
      <c r="AG68" s="163">
        <f>Marshall!C6</f>
        <v>1427198.19</v>
      </c>
      <c r="AH68" s="151">
        <f>Marshall!D6</f>
        <v>1427198.19</v>
      </c>
      <c r="AI68" s="161"/>
      <c r="AJ68" s="156"/>
      <c r="AK68" s="155"/>
      <c r="AL68" s="156"/>
      <c r="AM68" s="161"/>
      <c r="AN68" s="156"/>
      <c r="AO68" s="155"/>
      <c r="AP68" s="156"/>
      <c r="AQ68" s="155"/>
      <c r="AR68" s="156"/>
      <c r="AS68" s="155"/>
      <c r="AT68" s="156"/>
      <c r="AU68" s="155"/>
      <c r="AV68" s="156"/>
      <c r="AW68" s="155"/>
      <c r="AX68" s="156"/>
      <c r="AY68" s="158"/>
      <c r="AZ68" s="151"/>
      <c r="BA68" s="155"/>
      <c r="BB68" s="156"/>
      <c r="BC68" s="159"/>
      <c r="BD68" s="160"/>
      <c r="BE68" s="189"/>
      <c r="BF68" s="186"/>
    </row>
    <row r="69" spans="1:58" s="31" customFormat="1" ht="12.75">
      <c r="A69" s="101" t="s">
        <v>66</v>
      </c>
      <c r="B69" s="47">
        <v>65</v>
      </c>
      <c r="C69" s="267">
        <v>8.0511299038711157E-3</v>
      </c>
      <c r="D69" s="258">
        <v>317556.98680205957</v>
      </c>
      <c r="E69" s="258">
        <v>299961.2796819639</v>
      </c>
      <c r="F69" s="247">
        <v>139112.51013564636</v>
      </c>
      <c r="G69" s="258">
        <v>120879.33563246411</v>
      </c>
      <c r="H69" s="332">
        <v>472278.35915283539</v>
      </c>
      <c r="I69" s="178">
        <v>97348.931072258376</v>
      </c>
      <c r="J69" s="408">
        <f>$C69*Allocations!$B$16</f>
        <v>462057.65419755381</v>
      </c>
      <c r="K69" s="409">
        <f>$C69*Allocations!$B$24</f>
        <v>93472.60374157576</v>
      </c>
      <c r="L69" s="258">
        <f t="shared" si="8"/>
        <v>2002667.6604163575</v>
      </c>
      <c r="M69" s="178">
        <f t="shared" si="9"/>
        <v>500666.92</v>
      </c>
      <c r="N69" s="265">
        <v>-154661.15588164167</v>
      </c>
      <c r="O69" s="377">
        <f t="shared" ref="O69:O103" si="21">$N69+$J69+$K69</f>
        <v>400869.10205748794</v>
      </c>
      <c r="P69" s="332">
        <f t="shared" ref="P69:P103" si="22">AG69+AI69+AK69+AM69+AO69+AQ69+AS69+AU69+AW69+AY69+BA69+BC69+BE69</f>
        <v>0</v>
      </c>
      <c r="Q69" s="378">
        <f t="shared" ref="Q69:Q103" si="23">AH69+AJ69+AL69+AN69+AP69+AR69+AT69+AV69+AX69+AZ69+BB69+BD69+BE69</f>
        <v>0</v>
      </c>
      <c r="R69" s="379"/>
      <c r="S69" s="380"/>
      <c r="T69" s="380"/>
      <c r="U69" s="381"/>
      <c r="V69" s="198">
        <f>'Project Final Cost Tracking'!C68</f>
        <v>0</v>
      </c>
      <c r="W69" s="383">
        <f t="shared" si="10"/>
        <v>400869.10205748794</v>
      </c>
      <c r="X69" s="382">
        <f t="shared" ref="X69:X103" si="24">$W69/$M69</f>
        <v>0.80067023812455584</v>
      </c>
      <c r="Y69" s="383">
        <f t="shared" si="11"/>
        <v>2900755.2627835711</v>
      </c>
      <c r="Z69" s="384">
        <f t="shared" ref="Z69:Z103" si="25">IF((($W69-$L69)-($S69+$U69))&gt;0,(($W69-$L69)-($S69+$U69)),0)</f>
        <v>0</v>
      </c>
      <c r="AA69" s="332">
        <f t="shared" ref="AA69:AA103" si="26">IF($Z69&gt;0,0,($J69+$K69))</f>
        <v>555530.2579391296</v>
      </c>
      <c r="AB69" s="385">
        <f t="shared" si="12"/>
        <v>8.0511299038711157E-3</v>
      </c>
      <c r="AC69" s="378">
        <f t="shared" ref="AC69:AC103" si="27">IF($AB69&gt;0,$AB69*$Z$104,0)</f>
        <v>0</v>
      </c>
      <c r="AD69" s="247">
        <f>$C69*Allocations!$B$16</f>
        <v>462057.65419755381</v>
      </c>
      <c r="AE69" s="260">
        <f>$C69*Allocations!$B$24</f>
        <v>93472.60374157576</v>
      </c>
      <c r="AF69" s="442">
        <f t="shared" ref="AF69:AF103" si="28">$N69+$AD69+$AE69+$AC69-$Q69-$V69-$Z69</f>
        <v>400869.10205748794</v>
      </c>
      <c r="AG69" s="172"/>
      <c r="AH69" s="169"/>
      <c r="AI69" s="184"/>
      <c r="AJ69" s="167"/>
      <c r="AK69" s="166"/>
      <c r="AL69" s="167"/>
      <c r="AM69" s="184"/>
      <c r="AN69" s="167"/>
      <c r="AO69" s="166"/>
      <c r="AP69" s="167"/>
      <c r="AQ69" s="166"/>
      <c r="AR69" s="167"/>
      <c r="AS69" s="166"/>
      <c r="AT69" s="167"/>
      <c r="AU69" s="166"/>
      <c r="AV69" s="167"/>
      <c r="AW69" s="166"/>
      <c r="AX69" s="167"/>
      <c r="AY69" s="168"/>
      <c r="AZ69" s="169"/>
      <c r="BA69" s="166"/>
      <c r="BB69" s="167"/>
      <c r="BC69" s="170"/>
      <c r="BD69" s="171"/>
      <c r="BE69" s="190"/>
      <c r="BF69" s="186"/>
    </row>
    <row r="70" spans="1:58" s="31" customFormat="1" ht="12.75">
      <c r="A70" s="100" t="s">
        <v>67</v>
      </c>
      <c r="B70" s="48">
        <v>66</v>
      </c>
      <c r="C70" s="266">
        <v>5.6993017401596544E-3</v>
      </c>
      <c r="D70" s="254">
        <v>217757.00647223485</v>
      </c>
      <c r="E70" s="254">
        <v>224917.25884194407</v>
      </c>
      <c r="F70" s="255">
        <v>104309.47782162391</v>
      </c>
      <c r="G70" s="254">
        <v>90637.861159664593</v>
      </c>
      <c r="H70" s="256">
        <v>331723.70586479735</v>
      </c>
      <c r="I70" s="175">
        <v>68376.938200583216</v>
      </c>
      <c r="J70" s="406">
        <f>$C70*Allocations!$B$16</f>
        <v>327085.26928077778</v>
      </c>
      <c r="K70" s="407">
        <f>$C70*Allocations!$B$24</f>
        <v>66168.175091234327</v>
      </c>
      <c r="L70" s="254">
        <f t="shared" ref="L70:L103" si="29">SUM(D70:K70)</f>
        <v>1430975.6927328601</v>
      </c>
      <c r="M70" s="175">
        <f t="shared" ref="M70:M103" si="30">ROUND(AVERAGE(D70,(E70+F70+G70),(H70+I70),(J70+K70)),2)</f>
        <v>357743.92</v>
      </c>
      <c r="N70" s="264">
        <v>-1823.6825665542274</v>
      </c>
      <c r="O70" s="271">
        <f t="shared" si="21"/>
        <v>391429.76180545788</v>
      </c>
      <c r="P70" s="256">
        <f t="shared" si="22"/>
        <v>1071339.8999999999</v>
      </c>
      <c r="Q70" s="257">
        <f t="shared" si="23"/>
        <v>1071339.8999999999</v>
      </c>
      <c r="R70" s="347"/>
      <c r="S70" s="348"/>
      <c r="T70" s="348"/>
      <c r="U70" s="349"/>
      <c r="V70" s="362">
        <f>'Project Final Cost Tracking'!C69</f>
        <v>4687.8099999999395</v>
      </c>
      <c r="W70" s="375">
        <f t="shared" ref="W70:W103" si="31">$O70-$Q70-$V70</f>
        <v>-684597.94819454197</v>
      </c>
      <c r="X70" s="374">
        <f t="shared" si="24"/>
        <v>-1.9136536218268698</v>
      </c>
      <c r="Y70" s="375">
        <f t="shared" ref="Y70:Y103" si="32">(($J70+$K70)*4.5)+$W70</f>
        <v>1085042.5514795126</v>
      </c>
      <c r="Z70" s="376">
        <f t="shared" si="25"/>
        <v>0</v>
      </c>
      <c r="AA70" s="256">
        <f t="shared" si="26"/>
        <v>393253.44437201211</v>
      </c>
      <c r="AB70" s="276">
        <f t="shared" ref="AB70:AB103" si="33">IF($AA70&gt;0,$AA70/$AA$104,0)</f>
        <v>5.6993017401596544E-3</v>
      </c>
      <c r="AC70" s="257">
        <f t="shared" si="27"/>
        <v>0</v>
      </c>
      <c r="AD70" s="255">
        <f>$C70*Allocations!$B$16</f>
        <v>327085.26928077778</v>
      </c>
      <c r="AE70" s="259">
        <f>$C70*Allocations!$B$24</f>
        <v>66168.175091234327</v>
      </c>
      <c r="AF70" s="441">
        <f t="shared" si="28"/>
        <v>-684597.94819454197</v>
      </c>
      <c r="AG70" s="163"/>
      <c r="AH70" s="151"/>
      <c r="AI70" s="161"/>
      <c r="AJ70" s="156"/>
      <c r="AK70" s="155"/>
      <c r="AL70" s="156"/>
      <c r="AM70" s="161"/>
      <c r="AN70" s="156"/>
      <c r="AO70" s="155">
        <f>Mitchell!C6</f>
        <v>1071339.8999999999</v>
      </c>
      <c r="AP70" s="156">
        <f>Mitchell!D6</f>
        <v>1071339.8999999999</v>
      </c>
      <c r="AQ70" s="155"/>
      <c r="AR70" s="156"/>
      <c r="AS70" s="155"/>
      <c r="AT70" s="156"/>
      <c r="AU70" s="155"/>
      <c r="AV70" s="156"/>
      <c r="AW70" s="155"/>
      <c r="AX70" s="156"/>
      <c r="AY70" s="158"/>
      <c r="AZ70" s="151"/>
      <c r="BA70" s="155"/>
      <c r="BB70" s="156"/>
      <c r="BC70" s="159"/>
      <c r="BD70" s="160"/>
      <c r="BE70" s="189"/>
      <c r="BF70" s="186"/>
    </row>
    <row r="71" spans="1:58" s="31" customFormat="1" ht="12.75">
      <c r="A71" s="100" t="s">
        <v>68</v>
      </c>
      <c r="B71" s="48">
        <v>67</v>
      </c>
      <c r="C71" s="266">
        <v>1.5335611731996008E-2</v>
      </c>
      <c r="D71" s="254">
        <v>519607.45683789224</v>
      </c>
      <c r="E71" s="254">
        <v>520349.22281057946</v>
      </c>
      <c r="F71" s="255">
        <v>241321.43525011418</v>
      </c>
      <c r="G71" s="254">
        <v>209691.95896517544</v>
      </c>
      <c r="H71" s="256">
        <v>921029.95528017322</v>
      </c>
      <c r="I71" s="175">
        <v>189848.3805035819</v>
      </c>
      <c r="J71" s="406">
        <f>$C71*Allocations!$B$16</f>
        <v>880117.06023567275</v>
      </c>
      <c r="K71" s="407">
        <f>$C71*Allocations!$B$24</f>
        <v>178044.51992139543</v>
      </c>
      <c r="L71" s="254">
        <f t="shared" si="29"/>
        <v>3660009.9898045845</v>
      </c>
      <c r="M71" s="175">
        <f t="shared" si="30"/>
        <v>915002.5</v>
      </c>
      <c r="N71" s="264">
        <v>-1412277.1130177504</v>
      </c>
      <c r="O71" s="271">
        <f t="shared" si="21"/>
        <v>-354115.53286068223</v>
      </c>
      <c r="P71" s="256">
        <f t="shared" si="22"/>
        <v>0</v>
      </c>
      <c r="Q71" s="257">
        <f t="shared" si="23"/>
        <v>0</v>
      </c>
      <c r="R71" s="347"/>
      <c r="S71" s="348"/>
      <c r="T71" s="348"/>
      <c r="U71" s="349"/>
      <c r="V71" s="362">
        <f>'Project Final Cost Tracking'!C70</f>
        <v>-8862.6400000001304</v>
      </c>
      <c r="W71" s="375">
        <f t="shared" si="31"/>
        <v>-345252.8928606821</v>
      </c>
      <c r="X71" s="374">
        <f t="shared" si="24"/>
        <v>-0.37732453502660607</v>
      </c>
      <c r="Y71" s="375">
        <f t="shared" si="32"/>
        <v>4416474.2178461244</v>
      </c>
      <c r="Z71" s="376">
        <f t="shared" si="25"/>
        <v>0</v>
      </c>
      <c r="AA71" s="256">
        <f t="shared" si="26"/>
        <v>1058161.5801570681</v>
      </c>
      <c r="AB71" s="276">
        <f t="shared" si="33"/>
        <v>1.5335611731996006E-2</v>
      </c>
      <c r="AC71" s="257">
        <f t="shared" si="27"/>
        <v>0</v>
      </c>
      <c r="AD71" s="255">
        <f>$C71*Allocations!$B$16</f>
        <v>880117.06023567275</v>
      </c>
      <c r="AE71" s="259">
        <f>$C71*Allocations!$B$24</f>
        <v>178044.51992139543</v>
      </c>
      <c r="AF71" s="441">
        <f t="shared" si="28"/>
        <v>-345252.8928606821</v>
      </c>
      <c r="AG71" s="163"/>
      <c r="AH71" s="151"/>
      <c r="AI71" s="193"/>
      <c r="AJ71" s="156"/>
      <c r="AK71" s="155"/>
      <c r="AL71" s="175"/>
      <c r="AM71" s="161"/>
      <c r="AN71" s="156"/>
      <c r="AO71" s="155"/>
      <c r="AP71" s="156"/>
      <c r="AQ71" s="155"/>
      <c r="AR71" s="156"/>
      <c r="AS71" s="155"/>
      <c r="AT71" s="156"/>
      <c r="AU71" s="155"/>
      <c r="AV71" s="156"/>
      <c r="AW71" s="155"/>
      <c r="AX71" s="156"/>
      <c r="AY71" s="158"/>
      <c r="AZ71" s="151"/>
      <c r="BA71" s="155"/>
      <c r="BB71" s="156"/>
      <c r="BC71" s="159"/>
      <c r="BD71" s="160"/>
      <c r="BE71" s="189"/>
      <c r="BF71" s="186"/>
    </row>
    <row r="72" spans="1:58" s="31" customFormat="1" ht="12.75">
      <c r="A72" s="100" t="s">
        <v>69</v>
      </c>
      <c r="B72" s="48">
        <v>68</v>
      </c>
      <c r="C72" s="266">
        <v>6.751806132993061E-3</v>
      </c>
      <c r="D72" s="254">
        <v>320170.88362566341</v>
      </c>
      <c r="E72" s="254">
        <v>299148.24420729466</v>
      </c>
      <c r="F72" s="255">
        <v>138735.45011699834</v>
      </c>
      <c r="G72" s="254">
        <v>120551.69605135602</v>
      </c>
      <c r="H72" s="256">
        <v>456329.2297904981</v>
      </c>
      <c r="I72" s="175">
        <v>94061.398063670422</v>
      </c>
      <c r="J72" s="406">
        <f>$C72*Allocations!$B$16</f>
        <v>387488.9289647924</v>
      </c>
      <c r="K72" s="407">
        <f>$C72*Allocations!$B$24</f>
        <v>78387.61847647668</v>
      </c>
      <c r="L72" s="254">
        <f t="shared" si="29"/>
        <v>1894873.4492967499</v>
      </c>
      <c r="M72" s="175">
        <f t="shared" si="30"/>
        <v>473718.36</v>
      </c>
      <c r="N72" s="264">
        <v>1217833.6173565229</v>
      </c>
      <c r="O72" s="271">
        <f t="shared" si="21"/>
        <v>1683710.164797792</v>
      </c>
      <c r="P72" s="256">
        <f t="shared" si="22"/>
        <v>0</v>
      </c>
      <c r="Q72" s="257">
        <f t="shared" si="23"/>
        <v>0</v>
      </c>
      <c r="R72" s="347"/>
      <c r="S72" s="348"/>
      <c r="T72" s="348"/>
      <c r="U72" s="349"/>
      <c r="V72" s="362">
        <f>'Project Final Cost Tracking'!C71</f>
        <v>-9072.5899999999674</v>
      </c>
      <c r="W72" s="375">
        <f t="shared" si="31"/>
        <v>1692782.7547977921</v>
      </c>
      <c r="X72" s="374">
        <f t="shared" si="24"/>
        <v>3.5733948644038032</v>
      </c>
      <c r="Y72" s="375">
        <f t="shared" si="32"/>
        <v>3789227.2182835033</v>
      </c>
      <c r="Z72" s="376">
        <f t="shared" si="25"/>
        <v>0</v>
      </c>
      <c r="AA72" s="256">
        <f t="shared" si="26"/>
        <v>465876.5474412691</v>
      </c>
      <c r="AB72" s="276">
        <f t="shared" si="33"/>
        <v>6.751806132993061E-3</v>
      </c>
      <c r="AC72" s="257">
        <f t="shared" si="27"/>
        <v>0</v>
      </c>
      <c r="AD72" s="255">
        <f>$C72*Allocations!$B$16</f>
        <v>387488.9289647924</v>
      </c>
      <c r="AE72" s="259">
        <f>$C72*Allocations!$B$24</f>
        <v>78387.61847647668</v>
      </c>
      <c r="AF72" s="441">
        <f t="shared" si="28"/>
        <v>1692782.7547977921</v>
      </c>
      <c r="AG72" s="163"/>
      <c r="AH72" s="151"/>
      <c r="AI72" s="161"/>
      <c r="AJ72" s="156"/>
      <c r="AK72" s="155"/>
      <c r="AL72" s="156"/>
      <c r="AM72" s="161"/>
      <c r="AN72" s="156"/>
      <c r="AO72" s="155"/>
      <c r="AP72" s="156"/>
      <c r="AQ72" s="155"/>
      <c r="AR72" s="156"/>
      <c r="AS72" s="155"/>
      <c r="AT72" s="156"/>
      <c r="AU72" s="155"/>
      <c r="AV72" s="156"/>
      <c r="AW72" s="155"/>
      <c r="AX72" s="156"/>
      <c r="AY72" s="158"/>
      <c r="AZ72" s="151"/>
      <c r="BA72" s="155"/>
      <c r="BB72" s="156"/>
      <c r="BC72" s="159"/>
      <c r="BD72" s="160"/>
      <c r="BE72" s="189"/>
      <c r="BF72" s="186"/>
    </row>
    <row r="73" spans="1:58" s="31" customFormat="1" ht="12.75">
      <c r="A73" s="100" t="s">
        <v>70</v>
      </c>
      <c r="B73" s="48">
        <v>69</v>
      </c>
      <c r="C73" s="266">
        <v>1.1133771625145127E-2</v>
      </c>
      <c r="D73" s="254">
        <v>473994.10356942099</v>
      </c>
      <c r="E73" s="254">
        <v>414751.20277761767</v>
      </c>
      <c r="F73" s="255">
        <v>192348.42897505505</v>
      </c>
      <c r="G73" s="254">
        <v>167137.73823634724</v>
      </c>
      <c r="H73" s="256">
        <v>646744.99243989366</v>
      </c>
      <c r="I73" s="175">
        <v>133311.07062219811</v>
      </c>
      <c r="J73" s="406">
        <f>$C73*Allocations!$B$16</f>
        <v>638971.72954721679</v>
      </c>
      <c r="K73" s="407">
        <f>$C73*Allocations!$B$24</f>
        <v>129261.68571271015</v>
      </c>
      <c r="L73" s="254">
        <f t="shared" si="29"/>
        <v>2796520.9518804592</v>
      </c>
      <c r="M73" s="175">
        <f t="shared" si="30"/>
        <v>699130.24</v>
      </c>
      <c r="N73" s="264">
        <v>807536.64289740962</v>
      </c>
      <c r="O73" s="271">
        <f t="shared" si="21"/>
        <v>1575770.0581573367</v>
      </c>
      <c r="P73" s="256">
        <f t="shared" si="22"/>
        <v>2701246.29</v>
      </c>
      <c r="Q73" s="257">
        <f t="shared" si="23"/>
        <v>511651.1</v>
      </c>
      <c r="R73" s="347"/>
      <c r="S73" s="348"/>
      <c r="T73" s="348"/>
      <c r="U73" s="349"/>
      <c r="V73" s="362">
        <f>'Project Final Cost Tracking'!C72</f>
        <v>38962.530000000028</v>
      </c>
      <c r="W73" s="375">
        <f t="shared" si="31"/>
        <v>1025156.4281573368</v>
      </c>
      <c r="X73" s="374">
        <f t="shared" si="24"/>
        <v>1.466331120446652</v>
      </c>
      <c r="Y73" s="375">
        <f t="shared" si="32"/>
        <v>4482206.796827008</v>
      </c>
      <c r="Z73" s="376">
        <f t="shared" si="25"/>
        <v>0</v>
      </c>
      <c r="AA73" s="256">
        <f t="shared" si="26"/>
        <v>768233.41525992693</v>
      </c>
      <c r="AB73" s="276">
        <f t="shared" si="33"/>
        <v>1.1133771625145127E-2</v>
      </c>
      <c r="AC73" s="257">
        <f t="shared" si="27"/>
        <v>0</v>
      </c>
      <c r="AD73" s="255">
        <f>$C73*Allocations!$B$16</f>
        <v>638971.72954721679</v>
      </c>
      <c r="AE73" s="259">
        <f>$C73*Allocations!$B$24</f>
        <v>129261.68571271015</v>
      </c>
      <c r="AF73" s="441">
        <f t="shared" si="28"/>
        <v>1025156.4281573368</v>
      </c>
      <c r="AG73" s="163"/>
      <c r="AH73" s="151"/>
      <c r="AI73" s="161"/>
      <c r="AJ73" s="156"/>
      <c r="AK73" s="155"/>
      <c r="AL73" s="156"/>
      <c r="AM73" s="161"/>
      <c r="AN73" s="156"/>
      <c r="AO73" s="155"/>
      <c r="AP73" s="156"/>
      <c r="AQ73" s="155"/>
      <c r="AR73" s="156"/>
      <c r="AS73" s="155"/>
      <c r="AT73" s="156"/>
      <c r="AU73" s="155">
        <f>Montgomery!C6</f>
        <v>511651.1</v>
      </c>
      <c r="AV73" s="156">
        <f>Montgomery!D6</f>
        <v>511651.1</v>
      </c>
      <c r="AW73" s="155"/>
      <c r="AX73" s="156"/>
      <c r="AY73" s="158"/>
      <c r="AZ73" s="151"/>
      <c r="BA73" s="155"/>
      <c r="BB73" s="156"/>
      <c r="BC73" s="159">
        <f>Montgomery!C7</f>
        <v>2189595.19</v>
      </c>
      <c r="BD73" s="160">
        <f>Montgomery!D7</f>
        <v>0</v>
      </c>
      <c r="BE73" s="189"/>
      <c r="BF73" s="186"/>
    </row>
    <row r="74" spans="1:58" s="31" customFormat="1" ht="12.75">
      <c r="A74" s="101" t="s">
        <v>71</v>
      </c>
      <c r="B74" s="47">
        <v>70</v>
      </c>
      <c r="C74" s="267">
        <v>1.2966221620559555E-2</v>
      </c>
      <c r="D74" s="258">
        <v>424835.90194396517</v>
      </c>
      <c r="E74" s="258">
        <v>456865.45002277393</v>
      </c>
      <c r="F74" s="247">
        <v>211879.67865154182</v>
      </c>
      <c r="G74" s="258">
        <v>184109.0694463398</v>
      </c>
      <c r="H74" s="332">
        <v>718620.1701970963</v>
      </c>
      <c r="I74" s="178">
        <v>148126.42599406667</v>
      </c>
      <c r="J74" s="408">
        <f>$C74*Allocations!$B$16</f>
        <v>744136.78792099888</v>
      </c>
      <c r="K74" s="409">
        <f>$C74*Allocations!$B$24</f>
        <v>150536.19927077225</v>
      </c>
      <c r="L74" s="258">
        <f t="shared" si="29"/>
        <v>3039109.6834475547</v>
      </c>
      <c r="M74" s="178">
        <f t="shared" si="30"/>
        <v>759777.42</v>
      </c>
      <c r="N74" s="265">
        <v>1024270.1002847041</v>
      </c>
      <c r="O74" s="377">
        <f t="shared" si="21"/>
        <v>1918943.0874764752</v>
      </c>
      <c r="P74" s="332">
        <f t="shared" si="22"/>
        <v>0</v>
      </c>
      <c r="Q74" s="378">
        <f t="shared" si="23"/>
        <v>0</v>
      </c>
      <c r="R74" s="379"/>
      <c r="S74" s="386"/>
      <c r="T74" s="380"/>
      <c r="U74" s="381"/>
      <c r="V74" s="198">
        <f>'Project Final Cost Tracking'!C73</f>
        <v>21770.080000000075</v>
      </c>
      <c r="W74" s="383">
        <f t="shared" si="31"/>
        <v>1897173.0074764751</v>
      </c>
      <c r="X74" s="382">
        <f t="shared" si="24"/>
        <v>2.4970115688308754</v>
      </c>
      <c r="Y74" s="383">
        <f t="shared" si="32"/>
        <v>5923201.4498394448</v>
      </c>
      <c r="Z74" s="384">
        <f t="shared" si="25"/>
        <v>0</v>
      </c>
      <c r="AA74" s="332">
        <f t="shared" si="26"/>
        <v>894672.98719177116</v>
      </c>
      <c r="AB74" s="385">
        <f t="shared" si="33"/>
        <v>1.2966221620559555E-2</v>
      </c>
      <c r="AC74" s="378">
        <f t="shared" si="27"/>
        <v>0</v>
      </c>
      <c r="AD74" s="247">
        <f>$C74*Allocations!$B$16</f>
        <v>744136.78792099888</v>
      </c>
      <c r="AE74" s="260">
        <f>$C74*Allocations!$B$24</f>
        <v>150536.19927077225</v>
      </c>
      <c r="AF74" s="442">
        <f t="shared" si="28"/>
        <v>1897173.0074764751</v>
      </c>
      <c r="AG74" s="172"/>
      <c r="AH74" s="169"/>
      <c r="AI74" s="184"/>
      <c r="AJ74" s="167"/>
      <c r="AK74" s="166"/>
      <c r="AL74" s="167"/>
      <c r="AM74" s="184"/>
      <c r="AN74" s="167"/>
      <c r="AO74" s="166"/>
      <c r="AP74" s="167"/>
      <c r="AQ74" s="166"/>
      <c r="AR74" s="167"/>
      <c r="AS74" s="166"/>
      <c r="AT74" s="167"/>
      <c r="AU74" s="166"/>
      <c r="AV74" s="167"/>
      <c r="AW74" s="166"/>
      <c r="AX74" s="167"/>
      <c r="AY74" s="168"/>
      <c r="AZ74" s="169"/>
      <c r="BA74" s="166"/>
      <c r="BB74" s="167"/>
      <c r="BC74" s="170"/>
      <c r="BD74" s="171"/>
      <c r="BE74" s="190"/>
      <c r="BF74" s="186"/>
    </row>
    <row r="75" spans="1:58" s="31" customFormat="1" ht="12.75">
      <c r="A75" s="100" t="s">
        <v>72</v>
      </c>
      <c r="B75" s="48">
        <v>71</v>
      </c>
      <c r="C75" s="266">
        <v>3.8190521973869439E-3</v>
      </c>
      <c r="D75" s="254">
        <v>168162.10457581829</v>
      </c>
      <c r="E75" s="254">
        <v>137900.48445861533</v>
      </c>
      <c r="F75" s="255">
        <v>63953.862852896571</v>
      </c>
      <c r="G75" s="254">
        <v>55571.568978589938</v>
      </c>
      <c r="H75" s="256">
        <v>209209.19226961888</v>
      </c>
      <c r="I75" s="175">
        <v>43123.490295999749</v>
      </c>
      <c r="J75" s="406">
        <f>$C75*Allocations!$B$16</f>
        <v>219176.97523848983</v>
      </c>
      <c r="K75" s="407">
        <f>$C75*Allocations!$B$24</f>
        <v>44338.714811085549</v>
      </c>
      <c r="L75" s="254">
        <f t="shared" si="29"/>
        <v>941436.39348111418</v>
      </c>
      <c r="M75" s="175">
        <f t="shared" si="30"/>
        <v>235359.1</v>
      </c>
      <c r="N75" s="264">
        <v>76175.814397737733</v>
      </c>
      <c r="O75" s="271">
        <f t="shared" si="21"/>
        <v>339691.50444731308</v>
      </c>
      <c r="P75" s="256">
        <f t="shared" si="22"/>
        <v>0</v>
      </c>
      <c r="Q75" s="257">
        <f t="shared" si="23"/>
        <v>0</v>
      </c>
      <c r="R75" s="347"/>
      <c r="S75" s="348"/>
      <c r="T75" s="348"/>
      <c r="U75" s="349"/>
      <c r="V75" s="362">
        <f>'Project Final Cost Tracking'!C74</f>
        <v>0</v>
      </c>
      <c r="W75" s="375">
        <f t="shared" si="31"/>
        <v>339691.50444731308</v>
      </c>
      <c r="X75" s="374">
        <f t="shared" si="24"/>
        <v>1.4432902932043548</v>
      </c>
      <c r="Y75" s="375">
        <f t="shared" si="32"/>
        <v>1525512.1096704025</v>
      </c>
      <c r="Z75" s="376">
        <f t="shared" si="25"/>
        <v>0</v>
      </c>
      <c r="AA75" s="256">
        <f t="shared" si="26"/>
        <v>263515.69004957541</v>
      </c>
      <c r="AB75" s="276">
        <f t="shared" si="33"/>
        <v>3.8190521973869443E-3</v>
      </c>
      <c r="AC75" s="257">
        <f t="shared" si="27"/>
        <v>0</v>
      </c>
      <c r="AD75" s="255">
        <f>$C75*Allocations!$B$16</f>
        <v>219176.97523848983</v>
      </c>
      <c r="AE75" s="259">
        <f>$C75*Allocations!$B$24</f>
        <v>44338.714811085549</v>
      </c>
      <c r="AF75" s="441">
        <f t="shared" si="28"/>
        <v>339691.50444731308</v>
      </c>
      <c r="AG75" s="163"/>
      <c r="AH75" s="151"/>
      <c r="AI75" s="161"/>
      <c r="AJ75" s="156"/>
      <c r="AK75" s="155"/>
      <c r="AL75" s="156"/>
      <c r="AM75" s="161"/>
      <c r="AN75" s="156"/>
      <c r="AO75" s="155"/>
      <c r="AP75" s="156"/>
      <c r="AQ75" s="155"/>
      <c r="AR75" s="156"/>
      <c r="AS75" s="155"/>
      <c r="AT75" s="156"/>
      <c r="AU75" s="155"/>
      <c r="AV75" s="156"/>
      <c r="AW75" s="155"/>
      <c r="AX75" s="156"/>
      <c r="AY75" s="158"/>
      <c r="AZ75" s="151"/>
      <c r="BA75" s="155"/>
      <c r="BB75" s="156"/>
      <c r="BC75" s="159"/>
      <c r="BD75" s="160"/>
      <c r="BE75" s="189"/>
      <c r="BF75" s="186"/>
    </row>
    <row r="76" spans="1:58" s="31" customFormat="1" ht="12.75">
      <c r="A76" s="100" t="s">
        <v>73</v>
      </c>
      <c r="B76" s="48">
        <v>72</v>
      </c>
      <c r="C76" s="266">
        <v>3.7690777157918655E-3</v>
      </c>
      <c r="D76" s="254">
        <v>144291.55094214424</v>
      </c>
      <c r="E76" s="254">
        <v>132961.50590128661</v>
      </c>
      <c r="F76" s="255">
        <v>61663.3215358819</v>
      </c>
      <c r="G76" s="254">
        <v>53581.243936151535</v>
      </c>
      <c r="H76" s="256">
        <v>228960.14489440253</v>
      </c>
      <c r="I76" s="175">
        <v>47194.678586588518</v>
      </c>
      <c r="J76" s="406">
        <f>$C76*Allocations!$B$16</f>
        <v>216308.91920023636</v>
      </c>
      <c r="K76" s="407">
        <f>$C76*Allocations!$B$24</f>
        <v>43758.517376551368</v>
      </c>
      <c r="L76" s="254">
        <f t="shared" si="29"/>
        <v>928719.88237324299</v>
      </c>
      <c r="M76" s="175">
        <f t="shared" si="30"/>
        <v>232179.97</v>
      </c>
      <c r="N76" s="264">
        <v>537520.87361158722</v>
      </c>
      <c r="O76" s="271">
        <f t="shared" si="21"/>
        <v>797588.31018837495</v>
      </c>
      <c r="P76" s="256">
        <f t="shared" si="22"/>
        <v>1201924.93</v>
      </c>
      <c r="Q76" s="257">
        <f t="shared" si="23"/>
        <v>1201924.93</v>
      </c>
      <c r="R76" s="347"/>
      <c r="S76" s="348"/>
      <c r="T76" s="348"/>
      <c r="U76" s="349"/>
      <c r="V76" s="362">
        <f>'Project Final Cost Tracking'!C75</f>
        <v>0</v>
      </c>
      <c r="W76" s="375">
        <f t="shared" si="31"/>
        <v>-404336.61981162499</v>
      </c>
      <c r="X76" s="374">
        <f t="shared" si="24"/>
        <v>-1.7414793352399218</v>
      </c>
      <c r="Y76" s="375">
        <f t="shared" si="32"/>
        <v>765966.84478391986</v>
      </c>
      <c r="Z76" s="376">
        <f t="shared" si="25"/>
        <v>0</v>
      </c>
      <c r="AA76" s="256">
        <f t="shared" si="26"/>
        <v>260067.43657678773</v>
      </c>
      <c r="AB76" s="276">
        <f t="shared" si="33"/>
        <v>3.7690777157918655E-3</v>
      </c>
      <c r="AC76" s="257">
        <f t="shared" si="27"/>
        <v>0</v>
      </c>
      <c r="AD76" s="255">
        <f>$C76*Allocations!$B$16</f>
        <v>216308.91920023636</v>
      </c>
      <c r="AE76" s="259">
        <f>$C76*Allocations!$B$24</f>
        <v>43758.517376551368</v>
      </c>
      <c r="AF76" s="441">
        <f t="shared" si="28"/>
        <v>-404336.61981162499</v>
      </c>
      <c r="AG76" s="163"/>
      <c r="AH76" s="151"/>
      <c r="AI76" s="161"/>
      <c r="AJ76" s="156"/>
      <c r="AK76" s="155"/>
      <c r="AL76" s="156"/>
      <c r="AM76" s="161"/>
      <c r="AN76" s="156"/>
      <c r="AO76" s="155"/>
      <c r="AP76" s="156"/>
      <c r="AQ76" s="155"/>
      <c r="AR76" s="156"/>
      <c r="AS76" s="155"/>
      <c r="AT76" s="156"/>
      <c r="AU76" s="155"/>
      <c r="AV76" s="156"/>
      <c r="AW76" s="155"/>
      <c r="AX76" s="156"/>
      <c r="AY76" s="158"/>
      <c r="AZ76" s="151"/>
      <c r="BA76" s="155">
        <f>Osceola!C4</f>
        <v>1201924.93</v>
      </c>
      <c r="BB76" s="156">
        <f>Osceola!D4</f>
        <v>1201924.93</v>
      </c>
      <c r="BC76" s="159"/>
      <c r="BD76" s="160"/>
      <c r="BE76" s="189"/>
      <c r="BF76" s="186"/>
    </row>
    <row r="77" spans="1:58" s="31" customFormat="1" ht="12.75">
      <c r="A77" s="100" t="s">
        <v>74</v>
      </c>
      <c r="B77" s="48">
        <v>73</v>
      </c>
      <c r="C77" s="266">
        <v>1.2179335217937286E-2</v>
      </c>
      <c r="D77" s="254">
        <v>553991.91780446458</v>
      </c>
      <c r="E77" s="254">
        <v>573860.37929888489</v>
      </c>
      <c r="F77" s="255">
        <v>266138.20929255785</v>
      </c>
      <c r="G77" s="254">
        <v>231256.05234445873</v>
      </c>
      <c r="H77" s="256">
        <v>745719.61315458594</v>
      </c>
      <c r="I77" s="175">
        <v>153712.33047907724</v>
      </c>
      <c r="J77" s="406">
        <f>$C77*Allocations!$B$16</f>
        <v>698977.05386419536</v>
      </c>
      <c r="K77" s="407">
        <f>$C77*Allocations!$B$24</f>
        <v>141400.54728401444</v>
      </c>
      <c r="L77" s="254">
        <f t="shared" si="29"/>
        <v>3365056.1035222388</v>
      </c>
      <c r="M77" s="175">
        <f t="shared" si="30"/>
        <v>841264.03</v>
      </c>
      <c r="N77" s="264">
        <v>-2146977.0277854572</v>
      </c>
      <c r="O77" s="271">
        <f t="shared" si="21"/>
        <v>-1306599.4266372472</v>
      </c>
      <c r="P77" s="256">
        <f t="shared" si="22"/>
        <v>1704845.85</v>
      </c>
      <c r="Q77" s="257">
        <f t="shared" si="23"/>
        <v>1704845.85</v>
      </c>
      <c r="R77" s="347"/>
      <c r="S77" s="348"/>
      <c r="T77" s="348"/>
      <c r="U77" s="349"/>
      <c r="V77" s="362">
        <f>'Project Final Cost Tracking'!C76</f>
        <v>46785.26999999996</v>
      </c>
      <c r="W77" s="375">
        <f t="shared" si="31"/>
        <v>-3058230.5466372473</v>
      </c>
      <c r="X77" s="374">
        <f t="shared" si="24"/>
        <v>-3.6352802896342151</v>
      </c>
      <c r="Y77" s="375">
        <f t="shared" si="32"/>
        <v>723468.65852969652</v>
      </c>
      <c r="Z77" s="376">
        <f t="shared" si="25"/>
        <v>0</v>
      </c>
      <c r="AA77" s="256">
        <f t="shared" si="26"/>
        <v>840377.60114820977</v>
      </c>
      <c r="AB77" s="276">
        <f t="shared" si="33"/>
        <v>1.2179335217937284E-2</v>
      </c>
      <c r="AC77" s="257">
        <f t="shared" si="27"/>
        <v>0</v>
      </c>
      <c r="AD77" s="255">
        <f>$C77*Allocations!$B$16</f>
        <v>698977.05386419536</v>
      </c>
      <c r="AE77" s="259">
        <f>$C77*Allocations!$B$24</f>
        <v>141400.54728401444</v>
      </c>
      <c r="AF77" s="441">
        <f t="shared" si="28"/>
        <v>-3058230.5466372473</v>
      </c>
      <c r="AG77" s="163"/>
      <c r="AH77" s="151"/>
      <c r="AI77" s="161"/>
      <c r="AJ77" s="156"/>
      <c r="AK77" s="155"/>
      <c r="AL77" s="156"/>
      <c r="AM77" s="161"/>
      <c r="AN77" s="156"/>
      <c r="AO77" s="155"/>
      <c r="AP77" s="156"/>
      <c r="AQ77" s="155"/>
      <c r="AR77" s="156"/>
      <c r="AS77" s="155"/>
      <c r="AT77" s="156"/>
      <c r="AU77" s="155"/>
      <c r="AV77" s="156"/>
      <c r="AW77" s="155"/>
      <c r="AX77" s="156"/>
      <c r="AY77" s="158"/>
      <c r="AZ77" s="151"/>
      <c r="BA77" s="155"/>
      <c r="BB77" s="156"/>
      <c r="BC77" s="159">
        <f>Page!C8</f>
        <v>1704845.85</v>
      </c>
      <c r="BD77" s="160">
        <f>Page!D8</f>
        <v>1704845.85</v>
      </c>
      <c r="BE77" s="189"/>
      <c r="BF77" s="186"/>
    </row>
    <row r="78" spans="1:58" s="31" customFormat="1" ht="12.75">
      <c r="A78" s="100" t="s">
        <v>75</v>
      </c>
      <c r="B78" s="48">
        <v>74</v>
      </c>
      <c r="C78" s="266">
        <v>4.8155229949989799E-3</v>
      </c>
      <c r="D78" s="254">
        <v>188489.64898699484</v>
      </c>
      <c r="E78" s="254">
        <v>181243.8640555247</v>
      </c>
      <c r="F78" s="255">
        <v>84055.145057990361</v>
      </c>
      <c r="G78" s="254">
        <v>73038.21979197202</v>
      </c>
      <c r="H78" s="256">
        <v>279425.17511827836</v>
      </c>
      <c r="I78" s="175">
        <v>57596.842170022384</v>
      </c>
      <c r="J78" s="406">
        <f>$C78*Allocations!$B$16</f>
        <v>276364.84386294242</v>
      </c>
      <c r="K78" s="407">
        <f>$C78*Allocations!$B$24</f>
        <v>55907.615216040787</v>
      </c>
      <c r="L78" s="254">
        <f t="shared" si="29"/>
        <v>1196121.3542597659</v>
      </c>
      <c r="M78" s="175">
        <f t="shared" si="30"/>
        <v>299030.34000000003</v>
      </c>
      <c r="N78" s="264">
        <v>768150.48932175129</v>
      </c>
      <c r="O78" s="271">
        <f t="shared" si="21"/>
        <v>1100422.9484007345</v>
      </c>
      <c r="P78" s="256">
        <f t="shared" si="22"/>
        <v>991978.2</v>
      </c>
      <c r="Q78" s="257">
        <f t="shared" si="23"/>
        <v>991978.2</v>
      </c>
      <c r="R78" s="347"/>
      <c r="S78" s="348"/>
      <c r="T78" s="348"/>
      <c r="U78" s="349"/>
      <c r="V78" s="362">
        <f>'Project Final Cost Tracking'!C77</f>
        <v>-22900.840000000026</v>
      </c>
      <c r="W78" s="375">
        <f t="shared" si="31"/>
        <v>131345.58840073453</v>
      </c>
      <c r="X78" s="374">
        <f t="shared" si="24"/>
        <v>0.43923833414607533</v>
      </c>
      <c r="Y78" s="375">
        <f t="shared" si="32"/>
        <v>1626571.6542561592</v>
      </c>
      <c r="Z78" s="376">
        <f t="shared" si="25"/>
        <v>0</v>
      </c>
      <c r="AA78" s="256">
        <f t="shared" si="26"/>
        <v>332272.45907898323</v>
      </c>
      <c r="AB78" s="276">
        <f t="shared" si="33"/>
        <v>4.8155229949989808E-3</v>
      </c>
      <c r="AC78" s="257">
        <f t="shared" si="27"/>
        <v>0</v>
      </c>
      <c r="AD78" s="255">
        <f>$C78*Allocations!$B$16</f>
        <v>276364.84386294242</v>
      </c>
      <c r="AE78" s="259">
        <f>$C78*Allocations!$B$24</f>
        <v>55907.615216040787</v>
      </c>
      <c r="AF78" s="441">
        <f t="shared" si="28"/>
        <v>131345.58840073453</v>
      </c>
      <c r="AG78" s="163"/>
      <c r="AH78" s="151"/>
      <c r="AI78" s="161"/>
      <c r="AJ78" s="156"/>
      <c r="AK78" s="155"/>
      <c r="AL78" s="156"/>
      <c r="AM78" s="161"/>
      <c r="AN78" s="156"/>
      <c r="AO78" s="155"/>
      <c r="AP78" s="156"/>
      <c r="AQ78" s="155"/>
      <c r="AR78" s="156"/>
      <c r="AS78" s="155"/>
      <c r="AT78" s="156"/>
      <c r="AU78" s="155"/>
      <c r="AV78" s="156"/>
      <c r="AW78" s="155"/>
      <c r="AX78" s="156"/>
      <c r="AY78" s="158">
        <f>'Palo Alto'!C6+'Palo Alto'!C7</f>
        <v>991978.2</v>
      </c>
      <c r="AZ78" s="151">
        <f>'Palo Alto'!D6+'Palo Alto'!D7</f>
        <v>991978.2</v>
      </c>
      <c r="BA78" s="155"/>
      <c r="BB78" s="156"/>
      <c r="BC78" s="159"/>
      <c r="BD78" s="160"/>
      <c r="BE78" s="189"/>
      <c r="BF78" s="186"/>
    </row>
    <row r="79" spans="1:58" s="31" customFormat="1" ht="12.75">
      <c r="A79" s="101" t="s">
        <v>76</v>
      </c>
      <c r="B79" s="47">
        <v>75</v>
      </c>
      <c r="C79" s="267">
        <v>1.2264039753128064E-2</v>
      </c>
      <c r="D79" s="258">
        <v>504541.3413046191</v>
      </c>
      <c r="E79" s="258">
        <v>468064.81721933413</v>
      </c>
      <c r="F79" s="247">
        <v>217073.58929326251</v>
      </c>
      <c r="G79" s="258">
        <v>188622.22550321338</v>
      </c>
      <c r="H79" s="332">
        <v>742605.74853986653</v>
      </c>
      <c r="I79" s="178">
        <v>153070.4814807653</v>
      </c>
      <c r="J79" s="408">
        <f>$C79*Allocations!$B$16</f>
        <v>703838.2819523582</v>
      </c>
      <c r="K79" s="409">
        <f>$C79*Allocations!$B$24</f>
        <v>142383.95626480793</v>
      </c>
      <c r="L79" s="258">
        <f t="shared" si="29"/>
        <v>3120200.4415582269</v>
      </c>
      <c r="M79" s="178">
        <f t="shared" si="30"/>
        <v>780050.11</v>
      </c>
      <c r="N79" s="265">
        <v>620873.38635595189</v>
      </c>
      <c r="O79" s="377">
        <f t="shared" si="21"/>
        <v>1467095.6245731181</v>
      </c>
      <c r="P79" s="332">
        <f t="shared" si="22"/>
        <v>0</v>
      </c>
      <c r="Q79" s="378">
        <f t="shared" si="23"/>
        <v>0</v>
      </c>
      <c r="R79" s="379"/>
      <c r="S79" s="380"/>
      <c r="T79" s="380"/>
      <c r="U79" s="381"/>
      <c r="V79" s="198">
        <f>'Project Final Cost Tracking'!C78</f>
        <v>3135.2800000000279</v>
      </c>
      <c r="W79" s="383">
        <f t="shared" si="31"/>
        <v>1463960.344573118</v>
      </c>
      <c r="X79" s="382">
        <f t="shared" si="24"/>
        <v>1.8767516673680336</v>
      </c>
      <c r="Y79" s="383">
        <f t="shared" si="32"/>
        <v>5271960.4165503653</v>
      </c>
      <c r="Z79" s="384">
        <f t="shared" si="25"/>
        <v>0</v>
      </c>
      <c r="AA79" s="332">
        <f t="shared" si="26"/>
        <v>846222.23821716616</v>
      </c>
      <c r="AB79" s="385">
        <f t="shared" si="33"/>
        <v>1.2264039753128066E-2</v>
      </c>
      <c r="AC79" s="378">
        <f t="shared" si="27"/>
        <v>0</v>
      </c>
      <c r="AD79" s="247">
        <f>$C79*Allocations!$B$16</f>
        <v>703838.2819523582</v>
      </c>
      <c r="AE79" s="260">
        <f>$C79*Allocations!$B$24</f>
        <v>142383.95626480793</v>
      </c>
      <c r="AF79" s="442">
        <f t="shared" si="28"/>
        <v>1463960.344573118</v>
      </c>
      <c r="AG79" s="172"/>
      <c r="AH79" s="169"/>
      <c r="AI79" s="184"/>
      <c r="AJ79" s="167"/>
      <c r="AK79" s="166"/>
      <c r="AL79" s="167"/>
      <c r="AM79" s="184"/>
      <c r="AN79" s="167"/>
      <c r="AO79" s="166"/>
      <c r="AP79" s="194"/>
      <c r="AQ79" s="166"/>
      <c r="AR79" s="167"/>
      <c r="AS79" s="166"/>
      <c r="AT79" s="167"/>
      <c r="AU79" s="166"/>
      <c r="AV79" s="167"/>
      <c r="AW79" s="166"/>
      <c r="AX79" s="167"/>
      <c r="AY79" s="168"/>
      <c r="AZ79" s="169"/>
      <c r="BA79" s="166"/>
      <c r="BB79" s="167"/>
      <c r="BC79" s="170"/>
      <c r="BD79" s="171"/>
      <c r="BE79" s="190"/>
      <c r="BF79" s="186"/>
    </row>
    <row r="80" spans="1:58" s="31" customFormat="1" ht="12.75">
      <c r="A80" s="100" t="s">
        <v>77</v>
      </c>
      <c r="B80" s="48">
        <v>76</v>
      </c>
      <c r="C80" s="266">
        <v>8.6274755727900661E-3</v>
      </c>
      <c r="D80" s="254">
        <v>229420.32069242132</v>
      </c>
      <c r="E80" s="254">
        <v>240427.87276972976</v>
      </c>
      <c r="F80" s="255">
        <v>111502.80770582403</v>
      </c>
      <c r="G80" s="254">
        <v>96888.376922333249</v>
      </c>
      <c r="H80" s="256">
        <v>428828.6268010402</v>
      </c>
      <c r="I80" s="175">
        <v>88392.80399624689</v>
      </c>
      <c r="J80" s="406">
        <f>$C80*Allocations!$B$16</f>
        <v>495134.36901488231</v>
      </c>
      <c r="K80" s="407">
        <f>$C80*Allocations!$B$24</f>
        <v>100163.9043381705</v>
      </c>
      <c r="L80" s="254">
        <f t="shared" si="29"/>
        <v>1790759.0822406481</v>
      </c>
      <c r="M80" s="175">
        <f t="shared" si="30"/>
        <v>447689.77</v>
      </c>
      <c r="N80" s="264">
        <v>1041493.9969936339</v>
      </c>
      <c r="O80" s="271">
        <f t="shared" si="21"/>
        <v>1636792.2703466867</v>
      </c>
      <c r="P80" s="256">
        <f t="shared" si="22"/>
        <v>0</v>
      </c>
      <c r="Q80" s="257">
        <f t="shared" si="23"/>
        <v>0</v>
      </c>
      <c r="R80" s="347">
        <f>Pocahontas!C4</f>
        <v>408294.37</v>
      </c>
      <c r="S80" s="348">
        <f>Pocahontas!D4</f>
        <v>387529.37</v>
      </c>
      <c r="T80" s="348"/>
      <c r="U80" s="349"/>
      <c r="V80" s="362">
        <f>'Project Final Cost Tracking'!C79</f>
        <v>0</v>
      </c>
      <c r="W80" s="375">
        <f t="shared" si="31"/>
        <v>1636792.2703466867</v>
      </c>
      <c r="X80" s="374">
        <f t="shared" si="24"/>
        <v>3.6560859327803863</v>
      </c>
      <c r="Y80" s="375">
        <f t="shared" si="32"/>
        <v>4315634.500435425</v>
      </c>
      <c r="Z80" s="376">
        <f t="shared" si="25"/>
        <v>0</v>
      </c>
      <c r="AA80" s="256">
        <f t="shared" si="26"/>
        <v>595298.27335305279</v>
      </c>
      <c r="AB80" s="276">
        <f t="shared" si="33"/>
        <v>8.6274755727900661E-3</v>
      </c>
      <c r="AC80" s="257">
        <f t="shared" si="27"/>
        <v>0</v>
      </c>
      <c r="AD80" s="255">
        <f>$C80*Allocations!$B$16</f>
        <v>495134.36901488231</v>
      </c>
      <c r="AE80" s="259">
        <f>$C80*Allocations!$B$24</f>
        <v>100163.9043381705</v>
      </c>
      <c r="AF80" s="441">
        <f t="shared" si="28"/>
        <v>1636792.2703466867</v>
      </c>
      <c r="AG80" s="163"/>
      <c r="AH80" s="151"/>
      <c r="AI80" s="161"/>
      <c r="AJ80" s="156"/>
      <c r="AK80" s="155"/>
      <c r="AL80" s="156"/>
      <c r="AM80" s="161"/>
      <c r="AN80" s="156"/>
      <c r="AO80" s="195"/>
      <c r="AP80" s="196"/>
      <c r="AQ80" s="155"/>
      <c r="AR80" s="156"/>
      <c r="AS80" s="155"/>
      <c r="AT80" s="156"/>
      <c r="AU80" s="155"/>
      <c r="AV80" s="156"/>
      <c r="AW80" s="155"/>
      <c r="AX80" s="156"/>
      <c r="AY80" s="158"/>
      <c r="AZ80" s="151"/>
      <c r="BA80" s="155"/>
      <c r="BB80" s="156"/>
      <c r="BC80" s="159"/>
      <c r="BD80" s="160"/>
      <c r="BE80" s="189"/>
      <c r="BF80" s="186"/>
    </row>
    <row r="81" spans="1:58" s="31" customFormat="1" ht="12.75">
      <c r="A81" s="100" t="s">
        <v>78</v>
      </c>
      <c r="B81" s="48">
        <v>77</v>
      </c>
      <c r="C81" s="266">
        <v>9.9246502097203055E-3</v>
      </c>
      <c r="D81" s="254">
        <v>374714.98341810028</v>
      </c>
      <c r="E81" s="254">
        <v>368085.5276291435</v>
      </c>
      <c r="F81" s="255">
        <v>170706.37166031811</v>
      </c>
      <c r="G81" s="254">
        <v>148332.25835984861</v>
      </c>
      <c r="H81" s="256">
        <v>535954.00225595525</v>
      </c>
      <c r="I81" s="175">
        <v>110474.14774012892</v>
      </c>
      <c r="J81" s="406">
        <f>$C81*Allocations!$B$16</f>
        <v>569579.75456708448</v>
      </c>
      <c r="K81" s="407">
        <f>$C81*Allocations!$B$24</f>
        <v>115223.93842892633</v>
      </c>
      <c r="L81" s="254">
        <f t="shared" si="29"/>
        <v>2393070.9840595056</v>
      </c>
      <c r="M81" s="175">
        <f t="shared" si="30"/>
        <v>598267.75</v>
      </c>
      <c r="N81" s="264">
        <v>72227.668308795663</v>
      </c>
      <c r="O81" s="271">
        <f t="shared" si="21"/>
        <v>757031.36130480643</v>
      </c>
      <c r="P81" s="256">
        <f t="shared" si="22"/>
        <v>0</v>
      </c>
      <c r="Q81" s="257">
        <f t="shared" si="23"/>
        <v>0</v>
      </c>
      <c r="R81" s="347"/>
      <c r="S81" s="348"/>
      <c r="T81" s="348"/>
      <c r="U81" s="349"/>
      <c r="V81" s="362">
        <f>'Project Final Cost Tracking'!C80</f>
        <v>-4410.2100000000792</v>
      </c>
      <c r="W81" s="375">
        <f t="shared" si="31"/>
        <v>761441.57130480651</v>
      </c>
      <c r="X81" s="374">
        <f t="shared" si="24"/>
        <v>1.2727438029290505</v>
      </c>
      <c r="Y81" s="375">
        <f t="shared" si="32"/>
        <v>3843058.1897868551</v>
      </c>
      <c r="Z81" s="376">
        <f t="shared" si="25"/>
        <v>0</v>
      </c>
      <c r="AA81" s="256">
        <f t="shared" si="26"/>
        <v>684803.69299601077</v>
      </c>
      <c r="AB81" s="276">
        <f t="shared" si="33"/>
        <v>9.9246502097203038E-3</v>
      </c>
      <c r="AC81" s="257">
        <f t="shared" si="27"/>
        <v>0</v>
      </c>
      <c r="AD81" s="255">
        <f>$C81*Allocations!$B$16</f>
        <v>569579.75456708448</v>
      </c>
      <c r="AE81" s="259">
        <f>$C81*Allocations!$B$24</f>
        <v>115223.93842892633</v>
      </c>
      <c r="AF81" s="441">
        <f t="shared" si="28"/>
        <v>761441.57130480651</v>
      </c>
      <c r="AG81" s="163"/>
      <c r="AH81" s="151"/>
      <c r="AI81" s="161"/>
      <c r="AJ81" s="156"/>
      <c r="AK81" s="155"/>
      <c r="AL81" s="156"/>
      <c r="AM81" s="161"/>
      <c r="AN81" s="156"/>
      <c r="AO81" s="155"/>
      <c r="AP81" s="156"/>
      <c r="AQ81" s="155"/>
      <c r="AR81" s="156"/>
      <c r="AS81" s="155"/>
      <c r="AT81" s="156"/>
      <c r="AU81" s="155"/>
      <c r="AV81" s="156"/>
      <c r="AW81" s="155"/>
      <c r="AX81" s="156"/>
      <c r="AY81" s="158"/>
      <c r="AZ81" s="151"/>
      <c r="BA81" s="155"/>
      <c r="BB81" s="156"/>
      <c r="BC81" s="159"/>
      <c r="BD81" s="160"/>
      <c r="BE81" s="189"/>
      <c r="BF81" s="186"/>
    </row>
    <row r="82" spans="1:58" s="31" customFormat="1" ht="12.75">
      <c r="A82" s="100" t="s">
        <v>79</v>
      </c>
      <c r="B82" s="48">
        <v>78</v>
      </c>
      <c r="C82" s="266">
        <v>1.2458288721211614E-2</v>
      </c>
      <c r="D82" s="254">
        <v>567469.31379734166</v>
      </c>
      <c r="E82" s="254">
        <v>488141.93165471044</v>
      </c>
      <c r="F82" s="255">
        <v>226384.71701063687</v>
      </c>
      <c r="G82" s="254">
        <v>196712.96393764863</v>
      </c>
      <c r="H82" s="256">
        <v>734012.59514798597</v>
      </c>
      <c r="I82" s="175">
        <v>151299.20765246605</v>
      </c>
      <c r="J82" s="406">
        <f>$C82*Allocations!$B$16</f>
        <v>714986.31006699894</v>
      </c>
      <c r="K82" s="407">
        <f>$C82*Allocations!$B$24</f>
        <v>144639.16230888796</v>
      </c>
      <c r="L82" s="254">
        <f t="shared" si="29"/>
        <v>3223646.2015766762</v>
      </c>
      <c r="M82" s="175">
        <f t="shared" si="30"/>
        <v>805911.55</v>
      </c>
      <c r="N82" s="264">
        <v>-1084378.3867813635</v>
      </c>
      <c r="O82" s="271">
        <f t="shared" si="21"/>
        <v>-224752.91440547662</v>
      </c>
      <c r="P82" s="256">
        <f t="shared" si="22"/>
        <v>0</v>
      </c>
      <c r="Q82" s="257">
        <f t="shared" si="23"/>
        <v>0</v>
      </c>
      <c r="R82" s="347"/>
      <c r="S82" s="348"/>
      <c r="T82" s="348"/>
      <c r="U82" s="349"/>
      <c r="V82" s="362">
        <f>'Project Final Cost Tracking'!C81</f>
        <v>55129.589999999967</v>
      </c>
      <c r="W82" s="375">
        <f t="shared" si="31"/>
        <v>-279882.50440547662</v>
      </c>
      <c r="X82" s="374">
        <f t="shared" si="24"/>
        <v>-0.34728687584323192</v>
      </c>
      <c r="Y82" s="375">
        <f t="shared" si="32"/>
        <v>3588432.1212860141</v>
      </c>
      <c r="Z82" s="376">
        <f t="shared" si="25"/>
        <v>0</v>
      </c>
      <c r="AA82" s="256">
        <f t="shared" si="26"/>
        <v>859625.47237588686</v>
      </c>
      <c r="AB82" s="276">
        <f t="shared" si="33"/>
        <v>1.2458288721211613E-2</v>
      </c>
      <c r="AC82" s="257">
        <f t="shared" si="27"/>
        <v>0</v>
      </c>
      <c r="AD82" s="255">
        <f>$C82*Allocations!$B$16</f>
        <v>714986.31006699894</v>
      </c>
      <c r="AE82" s="259">
        <f>$C82*Allocations!$B$24</f>
        <v>144639.16230888796</v>
      </c>
      <c r="AF82" s="441">
        <f t="shared" si="28"/>
        <v>-279882.50440547662</v>
      </c>
      <c r="AG82" s="163"/>
      <c r="AH82" s="151"/>
      <c r="AI82" s="161"/>
      <c r="AJ82" s="156"/>
      <c r="AK82" s="155"/>
      <c r="AL82" s="156"/>
      <c r="AM82" s="161"/>
      <c r="AN82" s="156"/>
      <c r="AO82" s="155"/>
      <c r="AP82" s="156"/>
      <c r="AQ82" s="155"/>
      <c r="AR82" s="156"/>
      <c r="AS82" s="155"/>
      <c r="AT82" s="156"/>
      <c r="AU82" s="155"/>
      <c r="AV82" s="156"/>
      <c r="AW82" s="155"/>
      <c r="AX82" s="156"/>
      <c r="AY82" s="158"/>
      <c r="AZ82" s="151"/>
      <c r="BA82" s="155"/>
      <c r="BB82" s="156"/>
      <c r="BC82" s="159"/>
      <c r="BD82" s="160"/>
      <c r="BE82" s="189"/>
      <c r="BF82" s="186"/>
    </row>
    <row r="83" spans="1:58" s="31" customFormat="1" ht="12.75">
      <c r="A83" s="100" t="s">
        <v>80</v>
      </c>
      <c r="B83" s="48">
        <v>79</v>
      </c>
      <c r="C83" s="266">
        <v>1.5576466686500151E-2</v>
      </c>
      <c r="D83" s="254">
        <v>466910.04169773794</v>
      </c>
      <c r="E83" s="254">
        <v>555500.33765851031</v>
      </c>
      <c r="F83" s="255">
        <v>257623.40537688075</v>
      </c>
      <c r="G83" s="254">
        <v>223857.26528092191</v>
      </c>
      <c r="H83" s="256">
        <v>858492.85136309115</v>
      </c>
      <c r="I83" s="175">
        <v>176957.84656168564</v>
      </c>
      <c r="J83" s="406">
        <f>$C83*Allocations!$B$16</f>
        <v>893939.8250660518</v>
      </c>
      <c r="K83" s="407">
        <f>$C83*Allocations!$B$24</f>
        <v>180840.81559546426</v>
      </c>
      <c r="L83" s="254">
        <f t="shared" si="29"/>
        <v>3614122.3886003438</v>
      </c>
      <c r="M83" s="175">
        <f t="shared" si="30"/>
        <v>903530.6</v>
      </c>
      <c r="N83" s="264">
        <v>-1364020.9263807382</v>
      </c>
      <c r="O83" s="271">
        <f t="shared" si="21"/>
        <v>-289240.2857192221</v>
      </c>
      <c r="P83" s="256">
        <f t="shared" si="22"/>
        <v>0</v>
      </c>
      <c r="Q83" s="257">
        <f t="shared" si="23"/>
        <v>0</v>
      </c>
      <c r="R83" s="347"/>
      <c r="S83" s="348"/>
      <c r="T83" s="348">
        <f>Poweshiek!C9</f>
        <v>496800.25</v>
      </c>
      <c r="U83" s="349">
        <f>Poweshiek!D9</f>
        <v>496800.25</v>
      </c>
      <c r="V83" s="362">
        <f>'Project Final Cost Tracking'!C82</f>
        <v>3672.7799999999115</v>
      </c>
      <c r="W83" s="375">
        <f t="shared" si="31"/>
        <v>-292913.06571922201</v>
      </c>
      <c r="X83" s="374">
        <f t="shared" si="24"/>
        <v>-0.32418721150033214</v>
      </c>
      <c r="Y83" s="375">
        <f t="shared" si="32"/>
        <v>4543599.8172575999</v>
      </c>
      <c r="Z83" s="376">
        <f t="shared" si="25"/>
        <v>0</v>
      </c>
      <c r="AA83" s="256">
        <f t="shared" si="26"/>
        <v>1074780.640661516</v>
      </c>
      <c r="AB83" s="276">
        <f t="shared" si="33"/>
        <v>1.5576466686500149E-2</v>
      </c>
      <c r="AC83" s="257">
        <f t="shared" si="27"/>
        <v>0</v>
      </c>
      <c r="AD83" s="255">
        <f>$C83*Allocations!$B$16</f>
        <v>893939.8250660518</v>
      </c>
      <c r="AE83" s="259">
        <f>$C83*Allocations!$B$24</f>
        <v>180840.81559546426</v>
      </c>
      <c r="AF83" s="441">
        <f t="shared" si="28"/>
        <v>-292913.06571922201</v>
      </c>
      <c r="AG83" s="163"/>
      <c r="AH83" s="151"/>
      <c r="AI83" s="161"/>
      <c r="AJ83" s="156"/>
      <c r="AK83" s="155"/>
      <c r="AL83" s="156"/>
      <c r="AM83" s="161"/>
      <c r="AN83" s="156"/>
      <c r="AO83" s="155"/>
      <c r="AP83" s="156"/>
      <c r="AQ83" s="155"/>
      <c r="AR83" s="156"/>
      <c r="AS83" s="155"/>
      <c r="AT83" s="156"/>
      <c r="AU83" s="155"/>
      <c r="AV83" s="156"/>
      <c r="AW83" s="155"/>
      <c r="AX83" s="156"/>
      <c r="AY83" s="158"/>
      <c r="AZ83" s="151"/>
      <c r="BA83" s="155"/>
      <c r="BB83" s="156"/>
      <c r="BC83" s="159"/>
      <c r="BD83" s="160"/>
      <c r="BE83" s="189"/>
      <c r="BF83" s="186"/>
    </row>
    <row r="84" spans="1:58" s="153" customFormat="1" ht="12.75">
      <c r="A84" s="101" t="s">
        <v>81</v>
      </c>
      <c r="B84" s="152">
        <v>80</v>
      </c>
      <c r="C84" s="267">
        <v>1.2055479315288409E-2</v>
      </c>
      <c r="D84" s="258">
        <v>407369.27809637284</v>
      </c>
      <c r="E84" s="258">
        <v>445585.55280867225</v>
      </c>
      <c r="F84" s="247">
        <v>206648.42074655657</v>
      </c>
      <c r="G84" s="258">
        <v>179563.46115086658</v>
      </c>
      <c r="H84" s="332">
        <v>707847.92906951602</v>
      </c>
      <c r="I84" s="178">
        <v>145905.98514874899</v>
      </c>
      <c r="J84" s="408">
        <f>$C84*Allocations!$B$16</f>
        <v>691868.91270640038</v>
      </c>
      <c r="K84" s="409">
        <f>$C84*Allocations!$B$24</f>
        <v>139962.59586010472</v>
      </c>
      <c r="L84" s="258">
        <f t="shared" si="29"/>
        <v>2924752.1355872382</v>
      </c>
      <c r="M84" s="178">
        <f t="shared" si="30"/>
        <v>731188.03</v>
      </c>
      <c r="N84" s="265">
        <v>955998.85600782977</v>
      </c>
      <c r="O84" s="377">
        <f t="shared" si="21"/>
        <v>1787830.3645743348</v>
      </c>
      <c r="P84" s="332">
        <f t="shared" si="22"/>
        <v>0</v>
      </c>
      <c r="Q84" s="378">
        <f t="shared" si="23"/>
        <v>0</v>
      </c>
      <c r="R84" s="379"/>
      <c r="S84" s="380"/>
      <c r="T84" s="380"/>
      <c r="U84" s="381"/>
      <c r="V84" s="198">
        <f>'Project Final Cost Tracking'!C83</f>
        <v>65346.349999999977</v>
      </c>
      <c r="W84" s="383">
        <f t="shared" si="31"/>
        <v>1722484.014574335</v>
      </c>
      <c r="X84" s="382">
        <f t="shared" si="24"/>
        <v>2.3557333324703564</v>
      </c>
      <c r="Y84" s="383">
        <f t="shared" si="32"/>
        <v>5465725.8031236082</v>
      </c>
      <c r="Z84" s="384">
        <f t="shared" si="25"/>
        <v>0</v>
      </c>
      <c r="AA84" s="332">
        <f t="shared" si="26"/>
        <v>831831.50856650504</v>
      </c>
      <c r="AB84" s="385">
        <f t="shared" si="33"/>
        <v>1.2055479315288409E-2</v>
      </c>
      <c r="AC84" s="378">
        <f t="shared" si="27"/>
        <v>0</v>
      </c>
      <c r="AD84" s="247">
        <f>$C84*Allocations!$B$16</f>
        <v>691868.91270640038</v>
      </c>
      <c r="AE84" s="260">
        <f>$C84*Allocations!$B$24</f>
        <v>139962.59586010472</v>
      </c>
      <c r="AF84" s="442">
        <f t="shared" si="28"/>
        <v>1722484.014574335</v>
      </c>
      <c r="AG84" s="197"/>
      <c r="AH84" s="180"/>
      <c r="AI84" s="198"/>
      <c r="AJ84" s="178"/>
      <c r="AK84" s="177"/>
      <c r="AL84" s="178"/>
      <c r="AM84" s="198"/>
      <c r="AN84" s="178"/>
      <c r="AO84" s="177"/>
      <c r="AP84" s="178"/>
      <c r="AQ84" s="177"/>
      <c r="AR84" s="178"/>
      <c r="AS84" s="177"/>
      <c r="AT84" s="178"/>
      <c r="AU84" s="177"/>
      <c r="AV84" s="178"/>
      <c r="AW84" s="177"/>
      <c r="AX84" s="178"/>
      <c r="AY84" s="179"/>
      <c r="AZ84" s="180"/>
      <c r="BA84" s="177"/>
      <c r="BB84" s="178"/>
      <c r="BC84" s="181"/>
      <c r="BD84" s="182"/>
      <c r="BE84" s="190"/>
      <c r="BF84" s="188"/>
    </row>
    <row r="85" spans="1:58" s="31" customFormat="1" ht="12.75">
      <c r="A85" s="100" t="s">
        <v>82</v>
      </c>
      <c r="B85" s="48">
        <v>81</v>
      </c>
      <c r="C85" s="266">
        <v>1.2861565013574694E-2</v>
      </c>
      <c r="D85" s="254">
        <v>378702.60408850957</v>
      </c>
      <c r="E85" s="254">
        <v>343105.43697548722</v>
      </c>
      <c r="F85" s="255">
        <v>159121.39936679223</v>
      </c>
      <c r="G85" s="254">
        <v>138265.70321828427</v>
      </c>
      <c r="H85" s="256">
        <v>660243.33986684377</v>
      </c>
      <c r="I85" s="175">
        <v>136093.43332798179</v>
      </c>
      <c r="J85" s="406">
        <f>$C85*Allocations!$B$16</f>
        <v>738130.50223227229</v>
      </c>
      <c r="K85" s="407">
        <f>$C85*Allocations!$B$24</f>
        <v>149321.14925041047</v>
      </c>
      <c r="L85" s="254">
        <f t="shared" si="29"/>
        <v>2702983.5683265817</v>
      </c>
      <c r="M85" s="175">
        <f t="shared" si="30"/>
        <v>675745.89</v>
      </c>
      <c r="N85" s="264">
        <v>1297742.4727286266</v>
      </c>
      <c r="O85" s="271">
        <f t="shared" si="21"/>
        <v>2185194.1242113095</v>
      </c>
      <c r="P85" s="256">
        <f t="shared" si="22"/>
        <v>410243.06</v>
      </c>
      <c r="Q85" s="257">
        <f t="shared" si="23"/>
        <v>410243.06</v>
      </c>
      <c r="R85" s="347">
        <f>Sac!C11</f>
        <v>387873.68</v>
      </c>
      <c r="S85" s="348">
        <f>Sac!D11</f>
        <v>387873.68</v>
      </c>
      <c r="T85" s="348"/>
      <c r="U85" s="349"/>
      <c r="V85" s="362">
        <f>'Project Final Cost Tracking'!C84</f>
        <v>47229.26999999999</v>
      </c>
      <c r="W85" s="375">
        <f t="shared" si="31"/>
        <v>1727721.7942113094</v>
      </c>
      <c r="X85" s="374">
        <f t="shared" si="24"/>
        <v>2.5567625638260401</v>
      </c>
      <c r="Y85" s="375">
        <f t="shared" si="32"/>
        <v>5721254.2258833814</v>
      </c>
      <c r="Z85" s="376">
        <f t="shared" si="25"/>
        <v>0</v>
      </c>
      <c r="AA85" s="256">
        <f t="shared" si="26"/>
        <v>887451.65148268279</v>
      </c>
      <c r="AB85" s="276">
        <f t="shared" si="33"/>
        <v>1.2861565013574695E-2</v>
      </c>
      <c r="AC85" s="257">
        <f t="shared" si="27"/>
        <v>0</v>
      </c>
      <c r="AD85" s="255">
        <f>$C85*Allocations!$B$16</f>
        <v>738130.50223227229</v>
      </c>
      <c r="AE85" s="259">
        <f>$C85*Allocations!$B$24</f>
        <v>149321.14925041047</v>
      </c>
      <c r="AF85" s="441">
        <f t="shared" si="28"/>
        <v>1727721.7942113094</v>
      </c>
      <c r="AG85" s="163">
        <f>Sac!C9</f>
        <v>246472.51</v>
      </c>
      <c r="AH85" s="151">
        <f>Sac!D9</f>
        <v>246472.51</v>
      </c>
      <c r="AI85" s="161"/>
      <c r="AJ85" s="156"/>
      <c r="AK85" s="155"/>
      <c r="AL85" s="156"/>
      <c r="AM85" s="161"/>
      <c r="AN85" s="156"/>
      <c r="AO85" s="155"/>
      <c r="AP85" s="199"/>
      <c r="AQ85" s="155"/>
      <c r="AR85" s="156"/>
      <c r="AS85" s="155"/>
      <c r="AT85" s="156"/>
      <c r="AU85" s="155">
        <f>Sac!C10</f>
        <v>163770.54999999999</v>
      </c>
      <c r="AV85" s="156">
        <f>Sac!D10</f>
        <v>163770.54999999999</v>
      </c>
      <c r="AW85" s="155"/>
      <c r="AX85" s="156"/>
      <c r="AY85" s="158"/>
      <c r="AZ85" s="151"/>
      <c r="BA85" s="155"/>
      <c r="BB85" s="156"/>
      <c r="BC85" s="159"/>
      <c r="BD85" s="160"/>
      <c r="BE85" s="189"/>
      <c r="BF85" s="186"/>
    </row>
    <row r="86" spans="1:58" s="31" customFormat="1" ht="12.75">
      <c r="A86" s="100" t="s">
        <v>83</v>
      </c>
      <c r="B86" s="48">
        <v>82</v>
      </c>
      <c r="C86" s="266">
        <v>9.794394963247792E-3</v>
      </c>
      <c r="D86" s="254">
        <v>291860.65457160649</v>
      </c>
      <c r="E86" s="254">
        <v>270100.79302507301</v>
      </c>
      <c r="F86" s="255">
        <v>125264.16525221226</v>
      </c>
      <c r="G86" s="254">
        <v>108846.06322952581</v>
      </c>
      <c r="H86" s="256">
        <v>427093.34690945462</v>
      </c>
      <c r="I86" s="175">
        <v>88035.117391973821</v>
      </c>
      <c r="J86" s="406">
        <f>$C86*Allocations!$B$16</f>
        <v>562104.35243712063</v>
      </c>
      <c r="K86" s="407">
        <f>$C86*Allocations!$B$24</f>
        <v>113711.69142954149</v>
      </c>
      <c r="L86" s="254">
        <f t="shared" si="29"/>
        <v>1987016.1842465079</v>
      </c>
      <c r="M86" s="175">
        <f t="shared" si="30"/>
        <v>496754.05</v>
      </c>
      <c r="N86" s="264">
        <v>212224.10001233997</v>
      </c>
      <c r="O86" s="271">
        <f t="shared" si="21"/>
        <v>888040.14387900208</v>
      </c>
      <c r="P86" s="256">
        <f t="shared" si="22"/>
        <v>0</v>
      </c>
      <c r="Q86" s="257">
        <f t="shared" si="23"/>
        <v>0</v>
      </c>
      <c r="R86" s="347"/>
      <c r="S86" s="348"/>
      <c r="T86" s="348"/>
      <c r="U86" s="349"/>
      <c r="V86" s="362">
        <f>'Project Final Cost Tracking'!C85</f>
        <v>36429.859999999957</v>
      </c>
      <c r="W86" s="375">
        <f t="shared" si="31"/>
        <v>851610.28387900209</v>
      </c>
      <c r="X86" s="374">
        <f t="shared" si="24"/>
        <v>1.7143499562389115</v>
      </c>
      <c r="Y86" s="375">
        <f t="shared" si="32"/>
        <v>3892782.4812789815</v>
      </c>
      <c r="Z86" s="376">
        <f t="shared" si="25"/>
        <v>0</v>
      </c>
      <c r="AA86" s="256">
        <f t="shared" si="26"/>
        <v>675816.04386666208</v>
      </c>
      <c r="AB86" s="276">
        <f t="shared" si="33"/>
        <v>9.7943949632477902E-3</v>
      </c>
      <c r="AC86" s="257">
        <f t="shared" si="27"/>
        <v>0</v>
      </c>
      <c r="AD86" s="255">
        <f>$C86*Allocations!$B$16</f>
        <v>562104.35243712063</v>
      </c>
      <c r="AE86" s="259">
        <f>$C86*Allocations!$B$24</f>
        <v>113711.69142954149</v>
      </c>
      <c r="AF86" s="441">
        <f t="shared" si="28"/>
        <v>851610.28387900209</v>
      </c>
      <c r="AG86" s="163"/>
      <c r="AH86" s="151"/>
      <c r="AI86" s="161"/>
      <c r="AJ86" s="156"/>
      <c r="AK86" s="155"/>
      <c r="AL86" s="156"/>
      <c r="AM86" s="161"/>
      <c r="AN86" s="156"/>
      <c r="AO86" s="155"/>
      <c r="AP86" s="156"/>
      <c r="AQ86" s="155"/>
      <c r="AR86" s="156"/>
      <c r="AS86" s="155"/>
      <c r="AT86" s="156"/>
      <c r="AU86" s="155"/>
      <c r="AV86" s="156"/>
      <c r="AW86" s="155"/>
      <c r="AX86" s="156"/>
      <c r="AY86" s="158"/>
      <c r="AZ86" s="151"/>
      <c r="BA86" s="155"/>
      <c r="BB86" s="156"/>
      <c r="BC86" s="159"/>
      <c r="BD86" s="160"/>
      <c r="BE86" s="189"/>
      <c r="BF86" s="186"/>
    </row>
    <row r="87" spans="1:58" s="31" customFormat="1" ht="12.75">
      <c r="A87" s="100" t="s">
        <v>84</v>
      </c>
      <c r="B87" s="48">
        <v>83</v>
      </c>
      <c r="C87" s="266">
        <v>6.3950445004848054E-3</v>
      </c>
      <c r="D87" s="254">
        <v>302878.6889980284</v>
      </c>
      <c r="E87" s="254">
        <v>262656.85201999231</v>
      </c>
      <c r="F87" s="255">
        <v>121811.90194804053</v>
      </c>
      <c r="G87" s="254">
        <v>105846.28057712664</v>
      </c>
      <c r="H87" s="256">
        <v>391872.72882544261</v>
      </c>
      <c r="I87" s="175">
        <v>80775.226152550633</v>
      </c>
      <c r="J87" s="406">
        <f>$C87*Allocations!$B$16</f>
        <v>367014.23224611266</v>
      </c>
      <c r="K87" s="407">
        <f>$C87*Allocations!$B$24</f>
        <v>74245.660875021524</v>
      </c>
      <c r="L87" s="254">
        <f t="shared" si="29"/>
        <v>1707101.5716423155</v>
      </c>
      <c r="M87" s="175">
        <f t="shared" si="30"/>
        <v>426775.39</v>
      </c>
      <c r="N87" s="264">
        <v>-611915.12343556399</v>
      </c>
      <c r="O87" s="271">
        <f t="shared" si="21"/>
        <v>-170655.23031442979</v>
      </c>
      <c r="P87" s="256">
        <f t="shared" si="22"/>
        <v>0</v>
      </c>
      <c r="Q87" s="257">
        <f t="shared" si="23"/>
        <v>0</v>
      </c>
      <c r="R87" s="347"/>
      <c r="S87" s="348"/>
      <c r="T87" s="348"/>
      <c r="U87" s="349"/>
      <c r="V87" s="362">
        <f>'Project Final Cost Tracking'!C86</f>
        <v>11169.830000000016</v>
      </c>
      <c r="W87" s="375">
        <f t="shared" si="31"/>
        <v>-181825.06031442981</v>
      </c>
      <c r="X87" s="374">
        <f t="shared" si="24"/>
        <v>-0.42604392046699274</v>
      </c>
      <c r="Y87" s="375">
        <f t="shared" si="32"/>
        <v>1803844.4587306739</v>
      </c>
      <c r="Z87" s="376">
        <f t="shared" si="25"/>
        <v>0</v>
      </c>
      <c r="AA87" s="256">
        <f t="shared" si="26"/>
        <v>441259.8931211342</v>
      </c>
      <c r="AB87" s="276">
        <f t="shared" si="33"/>
        <v>6.3950445004848054E-3</v>
      </c>
      <c r="AC87" s="257">
        <f t="shared" si="27"/>
        <v>0</v>
      </c>
      <c r="AD87" s="255">
        <f>$C87*Allocations!$B$16</f>
        <v>367014.23224611266</v>
      </c>
      <c r="AE87" s="259">
        <f>$C87*Allocations!$B$24</f>
        <v>74245.660875021524</v>
      </c>
      <c r="AF87" s="441">
        <f t="shared" si="28"/>
        <v>-181825.06031442981</v>
      </c>
      <c r="AG87" s="163"/>
      <c r="AH87" s="151"/>
      <c r="AI87" s="161"/>
      <c r="AJ87" s="156"/>
      <c r="AK87" s="155"/>
      <c r="AL87" s="156"/>
      <c r="AM87" s="161"/>
      <c r="AN87" s="156"/>
      <c r="AO87" s="155"/>
      <c r="AP87" s="156"/>
      <c r="AQ87" s="155"/>
      <c r="AR87" s="156"/>
      <c r="AS87" s="155"/>
      <c r="AT87" s="156"/>
      <c r="AU87" s="155"/>
      <c r="AV87" s="156"/>
      <c r="AW87" s="155"/>
      <c r="AX87" s="156"/>
      <c r="AY87" s="158"/>
      <c r="AZ87" s="151"/>
      <c r="BA87" s="155"/>
      <c r="BB87" s="156"/>
      <c r="BC87" s="183"/>
      <c r="BD87" s="160"/>
      <c r="BE87" s="189"/>
      <c r="BF87" s="186"/>
    </row>
    <row r="88" spans="1:58" s="31" customFormat="1" ht="12.75">
      <c r="A88" s="100" t="s">
        <v>85</v>
      </c>
      <c r="B88" s="48">
        <v>84</v>
      </c>
      <c r="C88" s="266">
        <v>7.9235862219070047E-3</v>
      </c>
      <c r="D88" s="254">
        <v>292114.9376907766</v>
      </c>
      <c r="E88" s="254">
        <v>275733.1774106457</v>
      </c>
      <c r="F88" s="255">
        <v>127876.28615913927</v>
      </c>
      <c r="G88" s="254">
        <v>111115.81912360839</v>
      </c>
      <c r="H88" s="256">
        <v>421440.93829368969</v>
      </c>
      <c r="I88" s="175">
        <v>86870.008032071361</v>
      </c>
      <c r="J88" s="406">
        <f>$C88*Allocations!$B$16</f>
        <v>454737.8698691802</v>
      </c>
      <c r="K88" s="407">
        <f>$C88*Allocations!$B$24</f>
        <v>91991.837664476363</v>
      </c>
      <c r="L88" s="254">
        <f t="shared" si="29"/>
        <v>1861880.8742435877</v>
      </c>
      <c r="M88" s="175">
        <f t="shared" si="30"/>
        <v>465470.22</v>
      </c>
      <c r="N88" s="264">
        <v>-1893571.1175288607</v>
      </c>
      <c r="O88" s="271">
        <f t="shared" si="21"/>
        <v>-1346841.4099952041</v>
      </c>
      <c r="P88" s="256">
        <f t="shared" si="22"/>
        <v>0</v>
      </c>
      <c r="Q88" s="257">
        <f t="shared" si="23"/>
        <v>0</v>
      </c>
      <c r="R88" s="347"/>
      <c r="S88" s="348"/>
      <c r="T88" s="348"/>
      <c r="U88" s="349"/>
      <c r="V88" s="362">
        <f>'Project Final Cost Tracking'!C87</f>
        <v>0</v>
      </c>
      <c r="W88" s="375">
        <f t="shared" si="31"/>
        <v>-1346841.4099952041</v>
      </c>
      <c r="X88" s="374">
        <f t="shared" si="24"/>
        <v>-2.8935071506727201</v>
      </c>
      <c r="Y88" s="375">
        <f t="shared" si="32"/>
        <v>1113442.2739062507</v>
      </c>
      <c r="Z88" s="376">
        <f t="shared" si="25"/>
        <v>0</v>
      </c>
      <c r="AA88" s="256">
        <f t="shared" si="26"/>
        <v>546729.70753365662</v>
      </c>
      <c r="AB88" s="276">
        <f t="shared" si="33"/>
        <v>7.9235862219070047E-3</v>
      </c>
      <c r="AC88" s="257">
        <f t="shared" si="27"/>
        <v>0</v>
      </c>
      <c r="AD88" s="255">
        <f>$C88*Allocations!$B$16</f>
        <v>454737.8698691802</v>
      </c>
      <c r="AE88" s="259">
        <f>$C88*Allocations!$B$24</f>
        <v>91991.837664476363</v>
      </c>
      <c r="AF88" s="441">
        <f t="shared" si="28"/>
        <v>-1346841.4099952041</v>
      </c>
      <c r="AG88" s="163"/>
      <c r="AH88" s="151"/>
      <c r="AI88" s="161"/>
      <c r="AJ88" s="156"/>
      <c r="AK88" s="155"/>
      <c r="AL88" s="156"/>
      <c r="AM88" s="161"/>
      <c r="AN88" s="156"/>
      <c r="AO88" s="195"/>
      <c r="AP88" s="196"/>
      <c r="AQ88" s="155"/>
      <c r="AR88" s="156"/>
      <c r="AS88" s="155"/>
      <c r="AT88" s="156"/>
      <c r="AU88" s="155"/>
      <c r="AV88" s="156"/>
      <c r="AW88" s="155"/>
      <c r="AX88" s="156"/>
      <c r="AY88" s="158"/>
      <c r="AZ88" s="151"/>
      <c r="BA88" s="155"/>
      <c r="BB88" s="156"/>
      <c r="BC88" s="159"/>
      <c r="BD88" s="160"/>
      <c r="BE88" s="189"/>
      <c r="BF88" s="186"/>
    </row>
    <row r="89" spans="1:58" s="31" customFormat="1" ht="12.75">
      <c r="A89" s="101" t="s">
        <v>86</v>
      </c>
      <c r="B89" s="47">
        <v>85</v>
      </c>
      <c r="C89" s="267">
        <v>8.6333375051534864E-3</v>
      </c>
      <c r="D89" s="258">
        <v>343479.98299949983</v>
      </c>
      <c r="E89" s="258">
        <v>323902.71784535935</v>
      </c>
      <c r="F89" s="247">
        <v>150215.78840775715</v>
      </c>
      <c r="G89" s="258">
        <v>130527.33134159489</v>
      </c>
      <c r="H89" s="332">
        <v>524573.02430001402</v>
      </c>
      <c r="I89" s="178">
        <v>108128.23030161829</v>
      </c>
      <c r="J89" s="408">
        <f>$C89*Allocations!$B$16</f>
        <v>495470.78772247321</v>
      </c>
      <c r="K89" s="409">
        <f>$C89*Allocations!$B$24</f>
        <v>100231.96063430632</v>
      </c>
      <c r="L89" s="258">
        <f t="shared" si="29"/>
        <v>2176529.8235526234</v>
      </c>
      <c r="M89" s="178">
        <f t="shared" si="30"/>
        <v>544132.46</v>
      </c>
      <c r="N89" s="265">
        <v>932360.92149966233</v>
      </c>
      <c r="O89" s="377">
        <f t="shared" si="21"/>
        <v>1528063.6698564419</v>
      </c>
      <c r="P89" s="332">
        <f t="shared" si="22"/>
        <v>575513.61</v>
      </c>
      <c r="Q89" s="378">
        <f t="shared" si="23"/>
        <v>575513.61</v>
      </c>
      <c r="R89" s="379"/>
      <c r="S89" s="380"/>
      <c r="T89" s="380"/>
      <c r="U89" s="381"/>
      <c r="V89" s="198">
        <f>'Project Final Cost Tracking'!C88</f>
        <v>-9361.5600000000268</v>
      </c>
      <c r="W89" s="383">
        <f t="shared" si="31"/>
        <v>961911.61985644198</v>
      </c>
      <c r="X89" s="382">
        <f t="shared" si="24"/>
        <v>1.7677894457104104</v>
      </c>
      <c r="Y89" s="383">
        <f t="shared" si="32"/>
        <v>3642573.9874619502</v>
      </c>
      <c r="Z89" s="384">
        <f t="shared" si="25"/>
        <v>0</v>
      </c>
      <c r="AA89" s="332">
        <f t="shared" si="26"/>
        <v>595702.74835677957</v>
      </c>
      <c r="AB89" s="385">
        <f t="shared" si="33"/>
        <v>8.6333375051534864E-3</v>
      </c>
      <c r="AC89" s="378">
        <f t="shared" si="27"/>
        <v>0</v>
      </c>
      <c r="AD89" s="247">
        <f>$C89*Allocations!$B$16</f>
        <v>495470.78772247321</v>
      </c>
      <c r="AE89" s="260">
        <f>$C89*Allocations!$B$24</f>
        <v>100231.96063430632</v>
      </c>
      <c r="AF89" s="442">
        <f t="shared" si="28"/>
        <v>961911.61985644198</v>
      </c>
      <c r="AG89" s="172">
        <f>Story!C5</f>
        <v>575513.61</v>
      </c>
      <c r="AH89" s="169">
        <f>Story!D5</f>
        <v>575513.61</v>
      </c>
      <c r="AI89" s="184"/>
      <c r="AJ89" s="167"/>
      <c r="AK89" s="166"/>
      <c r="AL89" s="167"/>
      <c r="AM89" s="184"/>
      <c r="AN89" s="167"/>
      <c r="AO89" s="166"/>
      <c r="AP89" s="167"/>
      <c r="AQ89" s="166"/>
      <c r="AR89" s="167"/>
      <c r="AS89" s="166"/>
      <c r="AT89" s="167"/>
      <c r="AU89" s="166"/>
      <c r="AV89" s="167"/>
      <c r="AW89" s="166"/>
      <c r="AX89" s="167"/>
      <c r="AY89" s="168"/>
      <c r="AZ89" s="169"/>
      <c r="BA89" s="166"/>
      <c r="BB89" s="167"/>
      <c r="BC89" s="170"/>
      <c r="BD89" s="171"/>
      <c r="BE89" s="190"/>
      <c r="BF89" s="186"/>
    </row>
    <row r="90" spans="1:58" s="31" customFormat="1" ht="12.75">
      <c r="A90" s="100" t="s">
        <v>87</v>
      </c>
      <c r="B90" s="48">
        <v>86</v>
      </c>
      <c r="C90" s="266">
        <v>2.8468977671327764E-2</v>
      </c>
      <c r="D90" s="254">
        <v>924132.64409556915</v>
      </c>
      <c r="E90" s="254">
        <v>947060.39234403358</v>
      </c>
      <c r="F90" s="255">
        <v>439216.51677414926</v>
      </c>
      <c r="G90" s="254">
        <v>381649.36205014808</v>
      </c>
      <c r="H90" s="256">
        <v>1584021.0533725566</v>
      </c>
      <c r="I90" s="175">
        <v>326508.19872072333</v>
      </c>
      <c r="J90" s="406">
        <f>$C90*Allocations!$B$16</f>
        <v>1633846.3293073233</v>
      </c>
      <c r="K90" s="407">
        <f>$C90*Allocations!$B$24</f>
        <v>330521.24367292877</v>
      </c>
      <c r="L90" s="254">
        <f t="shared" si="29"/>
        <v>6566955.7403374324</v>
      </c>
      <c r="M90" s="175">
        <f t="shared" si="30"/>
        <v>1641738.94</v>
      </c>
      <c r="N90" s="264">
        <v>682382.97925822716</v>
      </c>
      <c r="O90" s="271">
        <f t="shared" si="21"/>
        <v>2646750.5522384793</v>
      </c>
      <c r="P90" s="256">
        <f t="shared" si="22"/>
        <v>0</v>
      </c>
      <c r="Q90" s="257">
        <f t="shared" si="23"/>
        <v>0</v>
      </c>
      <c r="R90" s="347"/>
      <c r="S90" s="348"/>
      <c r="T90" s="348"/>
      <c r="U90" s="349"/>
      <c r="V90" s="362">
        <f>'Project Final Cost Tracking'!C89</f>
        <v>16655.419999999925</v>
      </c>
      <c r="W90" s="375">
        <f t="shared" si="31"/>
        <v>2630095.1322384793</v>
      </c>
      <c r="X90" s="374">
        <f t="shared" si="24"/>
        <v>1.6020178776039018</v>
      </c>
      <c r="Y90" s="375">
        <f t="shared" si="32"/>
        <v>11469749.210649613</v>
      </c>
      <c r="Z90" s="376">
        <f t="shared" si="25"/>
        <v>0</v>
      </c>
      <c r="AA90" s="256">
        <f t="shared" si="26"/>
        <v>1964367.5729802521</v>
      </c>
      <c r="AB90" s="276">
        <f t="shared" si="33"/>
        <v>2.8468977671327764E-2</v>
      </c>
      <c r="AC90" s="257">
        <f t="shared" si="27"/>
        <v>0</v>
      </c>
      <c r="AD90" s="255">
        <f>$C90*Allocations!$B$16</f>
        <v>1633846.3293073233</v>
      </c>
      <c r="AE90" s="259">
        <f>$C90*Allocations!$B$24</f>
        <v>330521.24367292877</v>
      </c>
      <c r="AF90" s="441">
        <f t="shared" si="28"/>
        <v>2630095.1322384793</v>
      </c>
      <c r="AG90" s="163"/>
      <c r="AH90" s="151"/>
      <c r="AI90" s="161"/>
      <c r="AJ90" s="156"/>
      <c r="AK90" s="155"/>
      <c r="AL90" s="156"/>
      <c r="AM90" s="161"/>
      <c r="AN90" s="156"/>
      <c r="AO90" s="155"/>
      <c r="AP90" s="156"/>
      <c r="AQ90" s="155"/>
      <c r="AR90" s="156"/>
      <c r="AS90" s="155"/>
      <c r="AT90" s="156"/>
      <c r="AU90" s="155"/>
      <c r="AV90" s="156"/>
      <c r="AW90" s="155"/>
      <c r="AX90" s="156"/>
      <c r="AY90" s="158"/>
      <c r="AZ90" s="151"/>
      <c r="BA90" s="155"/>
      <c r="BB90" s="156"/>
      <c r="BC90" s="183"/>
      <c r="BD90" s="160"/>
      <c r="BE90" s="189"/>
      <c r="BF90" s="186"/>
    </row>
    <row r="91" spans="1:58" s="31" customFormat="1" ht="12.75">
      <c r="A91" s="100" t="s">
        <v>88</v>
      </c>
      <c r="B91" s="48">
        <v>87</v>
      </c>
      <c r="C91" s="266">
        <v>9.8039932043676153E-3</v>
      </c>
      <c r="D91" s="254">
        <v>361531.3727382574</v>
      </c>
      <c r="E91" s="254">
        <v>322064.20065792557</v>
      </c>
      <c r="F91" s="255">
        <v>149363.14255579049</v>
      </c>
      <c r="G91" s="254">
        <v>129786.43992920496</v>
      </c>
      <c r="H91" s="256">
        <v>503475.49721542199</v>
      </c>
      <c r="I91" s="175">
        <v>103779.4777700876</v>
      </c>
      <c r="J91" s="406">
        <f>$C91*Allocations!$B$16</f>
        <v>562655.19943986449</v>
      </c>
      <c r="K91" s="407">
        <f>$C91*Allocations!$B$24</f>
        <v>113823.12579956427</v>
      </c>
      <c r="L91" s="254">
        <f t="shared" si="29"/>
        <v>2246478.4561061165</v>
      </c>
      <c r="M91" s="175">
        <f t="shared" si="30"/>
        <v>561619.61</v>
      </c>
      <c r="N91" s="264">
        <v>1550422.0094854806</v>
      </c>
      <c r="O91" s="271">
        <f t="shared" si="21"/>
        <v>2226900.3347249092</v>
      </c>
      <c r="P91" s="256">
        <f t="shared" si="22"/>
        <v>0</v>
      </c>
      <c r="Q91" s="257">
        <f t="shared" si="23"/>
        <v>0</v>
      </c>
      <c r="R91" s="347"/>
      <c r="S91" s="348"/>
      <c r="T91" s="348"/>
      <c r="U91" s="349"/>
      <c r="V91" s="362">
        <f>'Project Final Cost Tracking'!C90</f>
        <v>0</v>
      </c>
      <c r="W91" s="375">
        <f t="shared" si="31"/>
        <v>2226900.3347249092</v>
      </c>
      <c r="X91" s="374">
        <f t="shared" si="24"/>
        <v>3.9651399186807406</v>
      </c>
      <c r="Y91" s="375">
        <f t="shared" si="32"/>
        <v>5271052.7983023394</v>
      </c>
      <c r="Z91" s="376">
        <f t="shared" si="25"/>
        <v>0</v>
      </c>
      <c r="AA91" s="256">
        <f t="shared" si="26"/>
        <v>676478.32523942878</v>
      </c>
      <c r="AB91" s="276">
        <f t="shared" si="33"/>
        <v>9.803993204367617E-3</v>
      </c>
      <c r="AC91" s="257">
        <f t="shared" si="27"/>
        <v>0</v>
      </c>
      <c r="AD91" s="255">
        <f>$C91*Allocations!$B$16</f>
        <v>562655.19943986449</v>
      </c>
      <c r="AE91" s="259">
        <f>$C91*Allocations!$B$24</f>
        <v>113823.12579956427</v>
      </c>
      <c r="AF91" s="441">
        <f t="shared" si="28"/>
        <v>2226900.3347249092</v>
      </c>
      <c r="AG91" s="163"/>
      <c r="AH91" s="151"/>
      <c r="AI91" s="161"/>
      <c r="AJ91" s="156"/>
      <c r="AK91" s="155"/>
      <c r="AL91" s="156"/>
      <c r="AM91" s="161"/>
      <c r="AN91" s="156"/>
      <c r="AO91" s="155"/>
      <c r="AP91" s="156"/>
      <c r="AQ91" s="155"/>
      <c r="AR91" s="156"/>
      <c r="AS91" s="155"/>
      <c r="AT91" s="156"/>
      <c r="AU91" s="155"/>
      <c r="AV91" s="156"/>
      <c r="AW91" s="155"/>
      <c r="AX91" s="156"/>
      <c r="AY91" s="158"/>
      <c r="AZ91" s="151"/>
      <c r="BA91" s="155"/>
      <c r="BB91" s="156"/>
      <c r="BC91" s="159"/>
      <c r="BD91" s="160"/>
      <c r="BE91" s="189"/>
      <c r="BF91" s="186"/>
    </row>
    <row r="92" spans="1:58" s="31" customFormat="1" ht="12.75">
      <c r="A92" s="100" t="s">
        <v>89</v>
      </c>
      <c r="B92" s="48">
        <v>88</v>
      </c>
      <c r="C92" s="266">
        <v>5.6533637107046321E-3</v>
      </c>
      <c r="D92" s="254">
        <v>199865.30991395784</v>
      </c>
      <c r="E92" s="254">
        <v>200926.78046845645</v>
      </c>
      <c r="F92" s="255">
        <v>93183.456258343213</v>
      </c>
      <c r="G92" s="254">
        <v>80970.103073131293</v>
      </c>
      <c r="H92" s="256">
        <v>331013.39541963604</v>
      </c>
      <c r="I92" s="175">
        <v>68230.524626414903</v>
      </c>
      <c r="J92" s="406">
        <f>$C92*Allocations!$B$16</f>
        <v>324448.86688982393</v>
      </c>
      <c r="K92" s="407">
        <f>$C92*Allocations!$B$24</f>
        <v>65634.840357453228</v>
      </c>
      <c r="L92" s="254">
        <f t="shared" si="29"/>
        <v>1364273.2770072168</v>
      </c>
      <c r="M92" s="175">
        <f t="shared" si="30"/>
        <v>341068.32</v>
      </c>
      <c r="N92" s="264">
        <v>764647.05456323596</v>
      </c>
      <c r="O92" s="271">
        <f t="shared" si="21"/>
        <v>1154730.7618105132</v>
      </c>
      <c r="P92" s="256">
        <f t="shared" si="22"/>
        <v>0</v>
      </c>
      <c r="Q92" s="257">
        <f t="shared" si="23"/>
        <v>0</v>
      </c>
      <c r="R92" s="347"/>
      <c r="S92" s="348"/>
      <c r="T92" s="348"/>
      <c r="U92" s="349"/>
      <c r="V92" s="362">
        <f>'Project Final Cost Tracking'!C91</f>
        <v>29133.629999999946</v>
      </c>
      <c r="W92" s="375">
        <f t="shared" si="31"/>
        <v>1125597.1318105133</v>
      </c>
      <c r="X92" s="374">
        <f t="shared" si="24"/>
        <v>3.3002101508885766</v>
      </c>
      <c r="Y92" s="375">
        <f t="shared" si="32"/>
        <v>2880973.8144232603</v>
      </c>
      <c r="Z92" s="376">
        <f t="shared" si="25"/>
        <v>0</v>
      </c>
      <c r="AA92" s="256">
        <f t="shared" si="26"/>
        <v>390083.70724727714</v>
      </c>
      <c r="AB92" s="276">
        <f t="shared" si="33"/>
        <v>5.6533637107046321E-3</v>
      </c>
      <c r="AC92" s="257">
        <f t="shared" si="27"/>
        <v>0</v>
      </c>
      <c r="AD92" s="255">
        <f>$C92*Allocations!$B$16</f>
        <v>324448.86688982393</v>
      </c>
      <c r="AE92" s="259">
        <f>$C92*Allocations!$B$24</f>
        <v>65634.840357453228</v>
      </c>
      <c r="AF92" s="441">
        <f t="shared" si="28"/>
        <v>1125597.1318105133</v>
      </c>
      <c r="AG92" s="163"/>
      <c r="AH92" s="151"/>
      <c r="AI92" s="161"/>
      <c r="AJ92" s="156"/>
      <c r="AK92" s="155"/>
      <c r="AL92" s="156"/>
      <c r="AM92" s="161"/>
      <c r="AN92" s="156"/>
      <c r="AO92" s="155"/>
      <c r="AP92" s="156"/>
      <c r="AQ92" s="155"/>
      <c r="AR92" s="156"/>
      <c r="AS92" s="155"/>
      <c r="AT92" s="156"/>
      <c r="AU92" s="155"/>
      <c r="AV92" s="156"/>
      <c r="AW92" s="155"/>
      <c r="AX92" s="156"/>
      <c r="AY92" s="158"/>
      <c r="AZ92" s="151"/>
      <c r="BA92" s="155"/>
      <c r="BB92" s="156"/>
      <c r="BC92" s="159"/>
      <c r="BD92" s="160"/>
      <c r="BE92" s="189"/>
      <c r="BF92" s="186"/>
    </row>
    <row r="93" spans="1:58" s="31" customFormat="1" ht="12.75">
      <c r="A93" s="100" t="s">
        <v>90</v>
      </c>
      <c r="B93" s="48">
        <v>89</v>
      </c>
      <c r="C93" s="266">
        <v>6.4789281967592236E-3</v>
      </c>
      <c r="D93" s="254">
        <v>345915.38043925277</v>
      </c>
      <c r="E93" s="254">
        <v>269310.50725392014</v>
      </c>
      <c r="F93" s="255">
        <v>124897.65582317486</v>
      </c>
      <c r="G93" s="254">
        <v>108527.5913951676</v>
      </c>
      <c r="H93" s="256">
        <v>417348.90144310711</v>
      </c>
      <c r="I93" s="175">
        <v>86026.532133605317</v>
      </c>
      <c r="J93" s="406">
        <f>$C93*Allocations!$B$16</f>
        <v>371828.3520515007</v>
      </c>
      <c r="K93" s="407">
        <f>$C93*Allocations!$B$24</f>
        <v>75219.540019421795</v>
      </c>
      <c r="L93" s="254">
        <f t="shared" si="29"/>
        <v>1799074.4605591504</v>
      </c>
      <c r="M93" s="175">
        <f t="shared" si="30"/>
        <v>449768.62</v>
      </c>
      <c r="N93" s="264">
        <v>1354742.1389018071</v>
      </c>
      <c r="O93" s="271">
        <f t="shared" si="21"/>
        <v>1801790.0309727297</v>
      </c>
      <c r="P93" s="256">
        <f t="shared" si="22"/>
        <v>586832.5</v>
      </c>
      <c r="Q93" s="257">
        <f t="shared" si="23"/>
        <v>586832.5</v>
      </c>
      <c r="R93" s="347"/>
      <c r="S93" s="348"/>
      <c r="T93" s="348"/>
      <c r="U93" s="349"/>
      <c r="V93" s="362">
        <f>'Project Final Cost Tracking'!C92</f>
        <v>0</v>
      </c>
      <c r="W93" s="375">
        <f t="shared" si="31"/>
        <v>1214957.5309727297</v>
      </c>
      <c r="X93" s="374">
        <f t="shared" si="24"/>
        <v>2.7012945700229811</v>
      </c>
      <c r="Y93" s="375">
        <f t="shared" si="32"/>
        <v>3226673.0452918811</v>
      </c>
      <c r="Z93" s="376">
        <f t="shared" si="25"/>
        <v>0</v>
      </c>
      <c r="AA93" s="256">
        <f t="shared" si="26"/>
        <v>447047.89207092248</v>
      </c>
      <c r="AB93" s="276">
        <f t="shared" si="33"/>
        <v>6.4789281967592236E-3</v>
      </c>
      <c r="AC93" s="257">
        <f t="shared" si="27"/>
        <v>0</v>
      </c>
      <c r="AD93" s="255">
        <f>$C93*Allocations!$B$16</f>
        <v>371828.3520515007</v>
      </c>
      <c r="AE93" s="259">
        <f>$C93*Allocations!$B$24</f>
        <v>75219.540019421795</v>
      </c>
      <c r="AF93" s="441">
        <f t="shared" si="28"/>
        <v>1214957.5309727297</v>
      </c>
      <c r="AG93" s="163"/>
      <c r="AH93" s="151"/>
      <c r="AI93" s="161">
        <f>'Van Buren'!C6</f>
        <v>586832.5</v>
      </c>
      <c r="AJ93" s="156">
        <f>'Van Buren'!D6</f>
        <v>586832.5</v>
      </c>
      <c r="AK93" s="155"/>
      <c r="AL93" s="156"/>
      <c r="AM93" s="161"/>
      <c r="AN93" s="156"/>
      <c r="AO93" s="155"/>
      <c r="AP93" s="156"/>
      <c r="AQ93" s="155"/>
      <c r="AR93" s="156"/>
      <c r="AS93" s="155"/>
      <c r="AT93" s="156"/>
      <c r="AU93" s="155"/>
      <c r="AV93" s="156"/>
      <c r="AW93" s="155"/>
      <c r="AX93" s="156"/>
      <c r="AY93" s="158"/>
      <c r="AZ93" s="151"/>
      <c r="BA93" s="155"/>
      <c r="BB93" s="156"/>
      <c r="BC93" s="159"/>
      <c r="BD93" s="160"/>
      <c r="BE93" s="189"/>
      <c r="BF93" s="186"/>
    </row>
    <row r="94" spans="1:58" s="31" customFormat="1" ht="12.75">
      <c r="A94" s="101" t="s">
        <v>91</v>
      </c>
      <c r="B94" s="47">
        <v>90</v>
      </c>
      <c r="C94" s="267">
        <v>8.0194109557327753E-3</v>
      </c>
      <c r="D94" s="258">
        <v>454949.87565538229</v>
      </c>
      <c r="E94" s="258">
        <v>453326.88683387439</v>
      </c>
      <c r="F94" s="247">
        <v>210238.60548368719</v>
      </c>
      <c r="G94" s="258">
        <v>182683.08817361959</v>
      </c>
      <c r="H94" s="332">
        <v>774702.84690773673</v>
      </c>
      <c r="I94" s="178">
        <v>159686.53355276404</v>
      </c>
      <c r="J94" s="408">
        <f>$C94*Allocations!$B$16</f>
        <v>460237.2907274068</v>
      </c>
      <c r="K94" s="409">
        <f>$C94*Allocations!$B$24</f>
        <v>93104.350750277095</v>
      </c>
      <c r="L94" s="258">
        <f t="shared" si="29"/>
        <v>2788929.4780847481</v>
      </c>
      <c r="M94" s="178">
        <f t="shared" si="30"/>
        <v>697232.37</v>
      </c>
      <c r="N94" s="265">
        <v>1207667.3287173414</v>
      </c>
      <c r="O94" s="377">
        <f t="shared" si="21"/>
        <v>1761008.9701950252</v>
      </c>
      <c r="P94" s="332">
        <f t="shared" si="22"/>
        <v>890768.8</v>
      </c>
      <c r="Q94" s="378">
        <f t="shared" si="23"/>
        <v>890768.8</v>
      </c>
      <c r="R94" s="379">
        <f>Wapello!C9</f>
        <v>594539.19999999995</v>
      </c>
      <c r="S94" s="380">
        <f>Wapello!D9</f>
        <v>594539.19999999995</v>
      </c>
      <c r="T94" s="380"/>
      <c r="U94" s="381"/>
      <c r="V94" s="198">
        <f>'Project Final Cost Tracking'!C93</f>
        <v>-52087.249999999913</v>
      </c>
      <c r="W94" s="383">
        <f t="shared" si="31"/>
        <v>922327.42019502504</v>
      </c>
      <c r="X94" s="382">
        <f t="shared" si="24"/>
        <v>1.3228407915068903</v>
      </c>
      <c r="Y94" s="383">
        <f t="shared" si="32"/>
        <v>3412364.8068446023</v>
      </c>
      <c r="Z94" s="384">
        <f t="shared" si="25"/>
        <v>0</v>
      </c>
      <c r="AA94" s="332">
        <f t="shared" si="26"/>
        <v>553341.64147768391</v>
      </c>
      <c r="AB94" s="385">
        <f t="shared" si="33"/>
        <v>8.0194109557327753E-3</v>
      </c>
      <c r="AC94" s="378">
        <f t="shared" si="27"/>
        <v>0</v>
      </c>
      <c r="AD94" s="247">
        <f>$C94*Allocations!$B$16</f>
        <v>460237.2907274068</v>
      </c>
      <c r="AE94" s="260">
        <f>$C94*Allocations!$B$24</f>
        <v>93104.350750277095</v>
      </c>
      <c r="AF94" s="442">
        <f t="shared" si="28"/>
        <v>922327.42019502504</v>
      </c>
      <c r="AG94" s="172"/>
      <c r="AH94" s="169"/>
      <c r="AI94" s="184">
        <f>Wapello!C8</f>
        <v>890768.8</v>
      </c>
      <c r="AJ94" s="167">
        <f>Wapello!D8</f>
        <v>890768.8</v>
      </c>
      <c r="AK94" s="166"/>
      <c r="AL94" s="167"/>
      <c r="AM94" s="184"/>
      <c r="AN94" s="167"/>
      <c r="AO94" s="166"/>
      <c r="AP94" s="167"/>
      <c r="AQ94" s="166"/>
      <c r="AR94" s="167"/>
      <c r="AS94" s="166"/>
      <c r="AT94" s="167"/>
      <c r="AU94" s="166"/>
      <c r="AV94" s="167"/>
      <c r="AW94" s="166"/>
      <c r="AX94" s="167"/>
      <c r="AY94" s="168"/>
      <c r="AZ94" s="169"/>
      <c r="BA94" s="166"/>
      <c r="BB94" s="167"/>
      <c r="BC94" s="170"/>
      <c r="BD94" s="171"/>
      <c r="BE94" s="190"/>
      <c r="BF94" s="186"/>
    </row>
    <row r="95" spans="1:58" s="31" customFormat="1" ht="12.75">
      <c r="A95" s="100" t="s">
        <v>92</v>
      </c>
      <c r="B95" s="48">
        <v>91</v>
      </c>
      <c r="C95" s="266">
        <v>1.4665761403589796E-2</v>
      </c>
      <c r="D95" s="254">
        <v>547710.87132655818</v>
      </c>
      <c r="E95" s="252">
        <v>555887.2865640627</v>
      </c>
      <c r="F95" s="261">
        <v>257802.85998383103</v>
      </c>
      <c r="G95" s="253">
        <v>224013.19916237646</v>
      </c>
      <c r="H95" s="333">
        <v>851938.9426966121</v>
      </c>
      <c r="I95" s="175">
        <v>175606.91444577969</v>
      </c>
      <c r="J95" s="406">
        <f>$C95*Allocations!$B$16</f>
        <v>841674.07457995531</v>
      </c>
      <c r="K95" s="407">
        <f>$C95*Allocations!$B$24</f>
        <v>170267.6420097407</v>
      </c>
      <c r="L95" s="254">
        <f t="shared" si="29"/>
        <v>3624901.7907689167</v>
      </c>
      <c r="M95" s="175">
        <f t="shared" si="30"/>
        <v>906225.45</v>
      </c>
      <c r="N95" s="264">
        <v>-1691711.0507527876</v>
      </c>
      <c r="O95" s="271">
        <f t="shared" si="21"/>
        <v>-679769.33416309161</v>
      </c>
      <c r="P95" s="256">
        <f t="shared" si="22"/>
        <v>0</v>
      </c>
      <c r="Q95" s="257">
        <f t="shared" si="23"/>
        <v>0</v>
      </c>
      <c r="R95" s="347"/>
      <c r="S95" s="348"/>
      <c r="T95" s="348"/>
      <c r="U95" s="349"/>
      <c r="V95" s="362">
        <f>'Project Final Cost Tracking'!C94</f>
        <v>-13595.389999999985</v>
      </c>
      <c r="W95" s="375">
        <f t="shared" si="31"/>
        <v>-666173.9441630916</v>
      </c>
      <c r="X95" s="374">
        <f t="shared" si="24"/>
        <v>-0.73510840394417487</v>
      </c>
      <c r="Y95" s="375">
        <f t="shared" si="32"/>
        <v>3887563.7804905409</v>
      </c>
      <c r="Z95" s="376">
        <f t="shared" si="25"/>
        <v>0</v>
      </c>
      <c r="AA95" s="256">
        <f t="shared" si="26"/>
        <v>1011941.716589696</v>
      </c>
      <c r="AB95" s="276">
        <f t="shared" si="33"/>
        <v>1.4665761403589796E-2</v>
      </c>
      <c r="AC95" s="257">
        <f t="shared" si="27"/>
        <v>0</v>
      </c>
      <c r="AD95" s="255">
        <f>$C95*Allocations!$B$16</f>
        <v>841674.07457995531</v>
      </c>
      <c r="AE95" s="259">
        <f>$C95*Allocations!$B$24</f>
        <v>170267.6420097407</v>
      </c>
      <c r="AF95" s="441">
        <f t="shared" si="28"/>
        <v>-666173.9441630916</v>
      </c>
      <c r="AG95" s="163"/>
      <c r="AH95" s="151"/>
      <c r="AI95" s="161"/>
      <c r="AJ95" s="156"/>
      <c r="AK95" s="155"/>
      <c r="AL95" s="156"/>
      <c r="AM95" s="161"/>
      <c r="AN95" s="156"/>
      <c r="AO95" s="155"/>
      <c r="AP95" s="156"/>
      <c r="AQ95" s="155"/>
      <c r="AR95" s="156"/>
      <c r="AS95" s="155"/>
      <c r="AT95" s="156"/>
      <c r="AU95" s="155"/>
      <c r="AV95" s="156"/>
      <c r="AW95" s="155"/>
      <c r="AX95" s="156"/>
      <c r="AY95" s="158"/>
      <c r="AZ95" s="151"/>
      <c r="BA95" s="155"/>
      <c r="BB95" s="156"/>
      <c r="BC95" s="159"/>
      <c r="BD95" s="160"/>
      <c r="BE95" s="189"/>
      <c r="BF95" s="186"/>
    </row>
    <row r="96" spans="1:58" s="31" customFormat="1" ht="12.75">
      <c r="A96" s="100" t="s">
        <v>93</v>
      </c>
      <c r="B96" s="48">
        <v>92</v>
      </c>
      <c r="C96" s="266">
        <v>7.7620830681782403E-3</v>
      </c>
      <c r="D96" s="254">
        <v>333144.80434259743</v>
      </c>
      <c r="E96" s="254">
        <v>290981.16676631576</v>
      </c>
      <c r="F96" s="255">
        <v>134947.8191117853</v>
      </c>
      <c r="G96" s="254">
        <v>117260.50161395686</v>
      </c>
      <c r="H96" s="256">
        <v>445943.91317235597</v>
      </c>
      <c r="I96" s="175">
        <v>91920.712486976612</v>
      </c>
      <c r="J96" s="406">
        <f>$C96*Allocations!$B$16</f>
        <v>445469.13749889022</v>
      </c>
      <c r="K96" s="407">
        <f>$C96*Allocations!$B$24</f>
        <v>90116.80639908278</v>
      </c>
      <c r="L96" s="254">
        <f t="shared" si="29"/>
        <v>1949784.8613919609</v>
      </c>
      <c r="M96" s="175">
        <f t="shared" si="30"/>
        <v>487446.22</v>
      </c>
      <c r="N96" s="264">
        <v>540413.61952079507</v>
      </c>
      <c r="O96" s="271">
        <f t="shared" si="21"/>
        <v>1075999.5634187681</v>
      </c>
      <c r="P96" s="256">
        <f t="shared" si="22"/>
        <v>0</v>
      </c>
      <c r="Q96" s="257">
        <f t="shared" si="23"/>
        <v>0</v>
      </c>
      <c r="R96" s="347"/>
      <c r="S96" s="348"/>
      <c r="T96" s="348"/>
      <c r="U96" s="349"/>
      <c r="V96" s="362">
        <f>'Project Final Cost Tracking'!C95</f>
        <v>-12390.550000000134</v>
      </c>
      <c r="W96" s="375">
        <f t="shared" si="31"/>
        <v>1088390.1134187682</v>
      </c>
      <c r="X96" s="374">
        <f t="shared" si="24"/>
        <v>2.2328414269347872</v>
      </c>
      <c r="Y96" s="375">
        <f t="shared" si="32"/>
        <v>3498526.8609596468</v>
      </c>
      <c r="Z96" s="376">
        <f t="shared" si="25"/>
        <v>0</v>
      </c>
      <c r="AA96" s="256">
        <f t="shared" si="26"/>
        <v>535585.94389797305</v>
      </c>
      <c r="AB96" s="276">
        <f t="shared" si="33"/>
        <v>7.7620830681782412E-3</v>
      </c>
      <c r="AC96" s="257">
        <f t="shared" si="27"/>
        <v>0</v>
      </c>
      <c r="AD96" s="255">
        <f>$C96*Allocations!$B$16</f>
        <v>445469.13749889022</v>
      </c>
      <c r="AE96" s="259">
        <f>$C96*Allocations!$B$24</f>
        <v>90116.80639908278</v>
      </c>
      <c r="AF96" s="441">
        <f t="shared" si="28"/>
        <v>1088390.1134187682</v>
      </c>
      <c r="AG96" s="163"/>
      <c r="AH96" s="151"/>
      <c r="AI96" s="161"/>
      <c r="AJ96" s="156"/>
      <c r="AK96" s="155"/>
      <c r="AL96" s="156"/>
      <c r="AM96" s="161"/>
      <c r="AN96" s="156"/>
      <c r="AO96" s="155"/>
      <c r="AP96" s="156"/>
      <c r="AQ96" s="155"/>
      <c r="AR96" s="156"/>
      <c r="AS96" s="155"/>
      <c r="AT96" s="156"/>
      <c r="AU96" s="155"/>
      <c r="AV96" s="156"/>
      <c r="AW96" s="155"/>
      <c r="AX96" s="156"/>
      <c r="AY96" s="158"/>
      <c r="AZ96" s="151"/>
      <c r="BA96" s="155"/>
      <c r="BB96" s="156"/>
      <c r="BC96" s="159"/>
      <c r="BD96" s="160"/>
      <c r="BE96" s="189"/>
      <c r="BF96" s="186"/>
    </row>
    <row r="97" spans="1:58" ht="13.15" customHeight="1">
      <c r="A97" s="100" t="s">
        <v>94</v>
      </c>
      <c r="B97" s="48">
        <v>93</v>
      </c>
      <c r="C97" s="266">
        <v>5.1929571643058317E-3</v>
      </c>
      <c r="D97" s="254">
        <v>278146.38204440981</v>
      </c>
      <c r="E97" s="254">
        <v>243466.88435175054</v>
      </c>
      <c r="F97" s="255">
        <v>112912.20471184578</v>
      </c>
      <c r="G97" s="254">
        <v>98113.047324471583</v>
      </c>
      <c r="H97" s="256">
        <v>330693.17806878517</v>
      </c>
      <c r="I97" s="175">
        <v>68164.519449146042</v>
      </c>
      <c r="J97" s="406">
        <f>$C97*Allocations!$B$16</f>
        <v>298025.94596490619</v>
      </c>
      <c r="K97" s="407">
        <f>$C97*Allocations!$B$24</f>
        <v>60289.578364988003</v>
      </c>
      <c r="L97" s="254">
        <f t="shared" si="29"/>
        <v>1489811.7402803032</v>
      </c>
      <c r="M97" s="175">
        <f t="shared" si="30"/>
        <v>372452.94</v>
      </c>
      <c r="N97" s="264">
        <v>-161743.70193368697</v>
      </c>
      <c r="O97" s="271">
        <f t="shared" si="21"/>
        <v>196571.82239620722</v>
      </c>
      <c r="P97" s="256">
        <f t="shared" si="22"/>
        <v>0</v>
      </c>
      <c r="Q97" s="257">
        <f t="shared" si="23"/>
        <v>0</v>
      </c>
      <c r="R97" s="347"/>
      <c r="S97" s="348"/>
      <c r="T97" s="348"/>
      <c r="U97" s="349"/>
      <c r="V97" s="362">
        <f>'Project Final Cost Tracking'!C96</f>
        <v>0</v>
      </c>
      <c r="W97" s="375">
        <f t="shared" si="31"/>
        <v>196571.82239620722</v>
      </c>
      <c r="X97" s="374">
        <f t="shared" si="24"/>
        <v>0.52777626724119087</v>
      </c>
      <c r="Y97" s="375">
        <f t="shared" si="32"/>
        <v>1808991.6818807311</v>
      </c>
      <c r="Z97" s="376">
        <f t="shared" si="25"/>
        <v>0</v>
      </c>
      <c r="AA97" s="256">
        <f t="shared" si="26"/>
        <v>358315.52432989422</v>
      </c>
      <c r="AB97" s="276">
        <f t="shared" si="33"/>
        <v>5.1929571643058317E-3</v>
      </c>
      <c r="AC97" s="257">
        <f t="shared" si="27"/>
        <v>0</v>
      </c>
      <c r="AD97" s="255">
        <f>$C97*Allocations!$B$16</f>
        <v>298025.94596490619</v>
      </c>
      <c r="AE97" s="259">
        <f>$C97*Allocations!$B$24</f>
        <v>60289.578364988003</v>
      </c>
      <c r="AF97" s="441">
        <f t="shared" si="28"/>
        <v>196571.82239620722</v>
      </c>
      <c r="AG97" s="163"/>
      <c r="AH97" s="151"/>
      <c r="AI97" s="161"/>
      <c r="AJ97" s="156"/>
      <c r="AK97" s="155"/>
      <c r="AL97" s="156"/>
      <c r="AM97" s="161"/>
      <c r="AN97" s="156"/>
      <c r="AO97" s="155"/>
      <c r="AP97" s="156"/>
      <c r="AQ97" s="155"/>
      <c r="AR97" s="156"/>
      <c r="AS97" s="155"/>
      <c r="AT97" s="156"/>
      <c r="AU97" s="155"/>
      <c r="AV97" s="156"/>
      <c r="AW97" s="155"/>
      <c r="AX97" s="156"/>
      <c r="AY97" s="158"/>
      <c r="AZ97" s="151"/>
      <c r="BA97" s="155"/>
      <c r="BB97" s="156"/>
      <c r="BC97" s="159"/>
      <c r="BD97" s="160"/>
      <c r="BE97" s="189"/>
      <c r="BF97" s="186"/>
    </row>
    <row r="98" spans="1:58" ht="13.15" customHeight="1">
      <c r="A98" s="100" t="s">
        <v>95</v>
      </c>
      <c r="B98" s="48">
        <v>94</v>
      </c>
      <c r="C98" s="266">
        <v>1.3994386115626548E-2</v>
      </c>
      <c r="D98" s="254">
        <v>403106.88765855134</v>
      </c>
      <c r="E98" s="254">
        <v>403873.79110698233</v>
      </c>
      <c r="F98" s="255">
        <v>187303.83107600213</v>
      </c>
      <c r="G98" s="254">
        <v>162754.32482531868</v>
      </c>
      <c r="H98" s="256">
        <v>737894.28784967528</v>
      </c>
      <c r="I98" s="175">
        <v>152099.32611636998</v>
      </c>
      <c r="J98" s="406">
        <f>$C98*Allocations!$B$16</f>
        <v>803143.57086850109</v>
      </c>
      <c r="K98" s="407">
        <f>$C98*Allocations!$B$24</f>
        <v>162473.05950977365</v>
      </c>
      <c r="L98" s="254">
        <f t="shared" si="29"/>
        <v>3012649.0790111744</v>
      </c>
      <c r="M98" s="175">
        <f t="shared" si="30"/>
        <v>753162.27</v>
      </c>
      <c r="N98" s="264">
        <v>-776390.40348833008</v>
      </c>
      <c r="O98" s="271">
        <f t="shared" si="21"/>
        <v>189226.22688994466</v>
      </c>
      <c r="P98" s="256">
        <f t="shared" si="22"/>
        <v>0</v>
      </c>
      <c r="Q98" s="257">
        <f t="shared" si="23"/>
        <v>0</v>
      </c>
      <c r="R98" s="347"/>
      <c r="S98" s="348"/>
      <c r="T98" s="348"/>
      <c r="U98" s="349"/>
      <c r="V98" s="362">
        <f>'Project Final Cost Tracking'!C97</f>
        <v>20392.270000000019</v>
      </c>
      <c r="W98" s="375">
        <f t="shared" si="31"/>
        <v>168833.95688994465</v>
      </c>
      <c r="X98" s="374">
        <f t="shared" si="24"/>
        <v>0.22416677469776153</v>
      </c>
      <c r="Y98" s="375">
        <f t="shared" si="32"/>
        <v>4514108.7935921811</v>
      </c>
      <c r="Z98" s="376">
        <f t="shared" si="25"/>
        <v>0</v>
      </c>
      <c r="AA98" s="256">
        <f t="shared" si="26"/>
        <v>965616.63037827471</v>
      </c>
      <c r="AB98" s="276">
        <f t="shared" si="33"/>
        <v>1.3994386115626548E-2</v>
      </c>
      <c r="AC98" s="257">
        <f t="shared" si="27"/>
        <v>0</v>
      </c>
      <c r="AD98" s="255">
        <f>$C98*Allocations!$B$16</f>
        <v>803143.57086850109</v>
      </c>
      <c r="AE98" s="259">
        <f>$C98*Allocations!$B$24</f>
        <v>162473.05950977365</v>
      </c>
      <c r="AF98" s="441">
        <f t="shared" si="28"/>
        <v>168833.95688994465</v>
      </c>
      <c r="AG98" s="163"/>
      <c r="AH98" s="151"/>
      <c r="AI98" s="161"/>
      <c r="AJ98" s="156"/>
      <c r="AK98" s="155"/>
      <c r="AL98" s="156"/>
      <c r="AM98" s="161"/>
      <c r="AN98" s="156"/>
      <c r="AO98" s="155"/>
      <c r="AP98" s="156"/>
      <c r="AQ98" s="155"/>
      <c r="AR98" s="156"/>
      <c r="AS98" s="155"/>
      <c r="AT98" s="156"/>
      <c r="AU98" s="155"/>
      <c r="AV98" s="156"/>
      <c r="AW98" s="155"/>
      <c r="AX98" s="156"/>
      <c r="AY98" s="158"/>
      <c r="AZ98" s="151"/>
      <c r="BA98" s="155"/>
      <c r="BB98" s="156"/>
      <c r="BC98" s="159"/>
      <c r="BD98" s="160"/>
      <c r="BE98" s="189"/>
      <c r="BF98" s="186"/>
    </row>
    <row r="99" spans="1:58" ht="13.15" customHeight="1">
      <c r="A99" s="101" t="s">
        <v>96</v>
      </c>
      <c r="B99" s="47">
        <v>95</v>
      </c>
      <c r="C99" s="267">
        <v>3.3714393722887766E-3</v>
      </c>
      <c r="D99" s="258">
        <v>136385.51327766079</v>
      </c>
      <c r="E99" s="258">
        <v>136521.2328796424</v>
      </c>
      <c r="F99" s="247">
        <v>63314.209796799085</v>
      </c>
      <c r="G99" s="258">
        <v>55015.753859008342</v>
      </c>
      <c r="H99" s="332">
        <v>182056.20887171524</v>
      </c>
      <c r="I99" s="178">
        <v>37526.549724870827</v>
      </c>
      <c r="J99" s="408">
        <f>$C99*Allocations!$B$16</f>
        <v>193488.29123723489</v>
      </c>
      <c r="K99" s="409">
        <f>$C99*Allocations!$B$24</f>
        <v>39141.986310911787</v>
      </c>
      <c r="L99" s="258">
        <f t="shared" si="29"/>
        <v>843449.74595784349</v>
      </c>
      <c r="M99" s="178">
        <f t="shared" si="30"/>
        <v>210862.44</v>
      </c>
      <c r="N99" s="265">
        <v>249502.49589889357</v>
      </c>
      <c r="O99" s="377">
        <f t="shared" si="21"/>
        <v>482132.77344704024</v>
      </c>
      <c r="P99" s="332">
        <f t="shared" si="22"/>
        <v>461199</v>
      </c>
      <c r="Q99" s="378">
        <f t="shared" si="23"/>
        <v>461199</v>
      </c>
      <c r="R99" s="379"/>
      <c r="S99" s="380"/>
      <c r="T99" s="380"/>
      <c r="U99" s="381"/>
      <c r="V99" s="198">
        <f>'Project Final Cost Tracking'!C98</f>
        <v>-4135.8399999999965</v>
      </c>
      <c r="W99" s="383">
        <f t="shared" si="31"/>
        <v>25069.613447040232</v>
      </c>
      <c r="X99" s="382">
        <f t="shared" si="24"/>
        <v>0.11889084394091348</v>
      </c>
      <c r="Y99" s="383">
        <f t="shared" si="32"/>
        <v>1071905.8624137002</v>
      </c>
      <c r="Z99" s="384">
        <f t="shared" si="25"/>
        <v>0</v>
      </c>
      <c r="AA99" s="332">
        <f t="shared" si="26"/>
        <v>232630.27754814667</v>
      </c>
      <c r="AB99" s="385">
        <f t="shared" si="33"/>
        <v>3.3714393722887761E-3</v>
      </c>
      <c r="AC99" s="378">
        <f t="shared" si="27"/>
        <v>0</v>
      </c>
      <c r="AD99" s="247">
        <f>$C99*Allocations!$B$16</f>
        <v>193488.29123723489</v>
      </c>
      <c r="AE99" s="260">
        <f>$C99*Allocations!$B$24</f>
        <v>39141.986310911787</v>
      </c>
      <c r="AF99" s="442">
        <f t="shared" si="28"/>
        <v>25069.613447040232</v>
      </c>
      <c r="AG99" s="172"/>
      <c r="AH99" s="169"/>
      <c r="AI99" s="184"/>
      <c r="AJ99" s="167"/>
      <c r="AK99" s="166"/>
      <c r="AL99" s="167"/>
      <c r="AM99" s="184"/>
      <c r="AN99" s="167"/>
      <c r="AO99" s="166"/>
      <c r="AP99" s="167"/>
      <c r="AQ99" s="166"/>
      <c r="AR99" s="167"/>
      <c r="AS99" s="166"/>
      <c r="AT99" s="167"/>
      <c r="AU99" s="166">
        <f>Winnebago!C5</f>
        <v>461199</v>
      </c>
      <c r="AV99" s="167">
        <f>Winnebago!D5</f>
        <v>461199</v>
      </c>
      <c r="AW99" s="166"/>
      <c r="AX99" s="167"/>
      <c r="AY99" s="168"/>
      <c r="AZ99" s="169"/>
      <c r="BA99" s="166"/>
      <c r="BB99" s="167"/>
      <c r="BC99" s="170"/>
      <c r="BD99" s="171"/>
      <c r="BE99" s="190"/>
      <c r="BF99" s="186"/>
    </row>
    <row r="100" spans="1:58" ht="13.15" customHeight="1">
      <c r="A100" s="100" t="s">
        <v>97</v>
      </c>
      <c r="B100" s="48">
        <v>96</v>
      </c>
      <c r="C100" s="266">
        <v>1.2509063965374639E-2</v>
      </c>
      <c r="D100" s="254">
        <v>581684.71296695073</v>
      </c>
      <c r="E100" s="254">
        <v>553227.52424412931</v>
      </c>
      <c r="F100" s="255">
        <v>256569.34673477957</v>
      </c>
      <c r="G100" s="254">
        <v>222941.35981526243</v>
      </c>
      <c r="H100" s="256">
        <v>773913.91331916733</v>
      </c>
      <c r="I100" s="175">
        <v>159523.91369088431</v>
      </c>
      <c r="J100" s="406">
        <f>$C100*Allocations!$B$16</f>
        <v>717900.32219814032</v>
      </c>
      <c r="K100" s="407">
        <f>$C100*Allocations!$B$24</f>
        <v>145228.65649593991</v>
      </c>
      <c r="L100" s="254">
        <f t="shared" si="29"/>
        <v>3410989.7494652541</v>
      </c>
      <c r="M100" s="175">
        <f t="shared" si="30"/>
        <v>852747.44</v>
      </c>
      <c r="N100" s="264">
        <v>-1560937.1512084811</v>
      </c>
      <c r="O100" s="271">
        <f t="shared" si="21"/>
        <v>-697808.17251440079</v>
      </c>
      <c r="P100" s="256">
        <f t="shared" si="22"/>
        <v>697497.5</v>
      </c>
      <c r="Q100" s="257">
        <f t="shared" si="23"/>
        <v>697497.5</v>
      </c>
      <c r="R100" s="347"/>
      <c r="S100" s="348"/>
      <c r="T100" s="348"/>
      <c r="U100" s="349"/>
      <c r="V100" s="362">
        <f>'Project Final Cost Tracking'!C99</f>
        <v>-46747.309999999823</v>
      </c>
      <c r="W100" s="375">
        <f t="shared" si="31"/>
        <v>-1348558.3625144011</v>
      </c>
      <c r="X100" s="374">
        <f t="shared" si="24"/>
        <v>-1.5814276293979859</v>
      </c>
      <c r="Y100" s="375">
        <f t="shared" si="32"/>
        <v>2535522.0416089604</v>
      </c>
      <c r="Z100" s="376">
        <f t="shared" si="25"/>
        <v>0</v>
      </c>
      <c r="AA100" s="256">
        <f t="shared" si="26"/>
        <v>863128.97869408026</v>
      </c>
      <c r="AB100" s="276">
        <f t="shared" si="33"/>
        <v>1.2509063965374639E-2</v>
      </c>
      <c r="AC100" s="257">
        <f t="shared" si="27"/>
        <v>0</v>
      </c>
      <c r="AD100" s="255">
        <f>$C100*Allocations!$B$16</f>
        <v>717900.32219814032</v>
      </c>
      <c r="AE100" s="259">
        <f>$C100*Allocations!$B$24</f>
        <v>145228.65649593991</v>
      </c>
      <c r="AF100" s="441">
        <f t="shared" si="28"/>
        <v>-1348558.3625144011</v>
      </c>
      <c r="AG100" s="163"/>
      <c r="AH100" s="151"/>
      <c r="AI100" s="208">
        <f>Winneshiek!C7+Winneshiek!C8+Winneshiek!C9</f>
        <v>697497.5</v>
      </c>
      <c r="AJ100" s="157">
        <f>Winneshiek!D7+Winneshiek!D8+Winneshiek!D9</f>
        <v>697497.5</v>
      </c>
      <c r="AK100" s="155"/>
      <c r="AL100" s="156"/>
      <c r="AM100" s="161"/>
      <c r="AN100" s="156"/>
      <c r="AO100" s="155"/>
      <c r="AP100" s="156"/>
      <c r="AQ100" s="155"/>
      <c r="AR100" s="157"/>
      <c r="AS100" s="155"/>
      <c r="AT100" s="156"/>
      <c r="AU100" s="155"/>
      <c r="AV100" s="156"/>
      <c r="AW100" s="155"/>
      <c r="AX100" s="156"/>
      <c r="AY100" s="158"/>
      <c r="AZ100" s="151"/>
      <c r="BA100" s="155"/>
      <c r="BB100" s="156"/>
      <c r="BC100" s="159"/>
      <c r="BD100" s="160"/>
      <c r="BE100" s="189"/>
      <c r="BF100" s="186"/>
    </row>
    <row r="101" spans="1:58" ht="13.15" customHeight="1">
      <c r="A101" s="100" t="s">
        <v>98</v>
      </c>
      <c r="B101" s="48">
        <v>97</v>
      </c>
      <c r="C101" s="266">
        <v>1.8733026035544456E-2</v>
      </c>
      <c r="D101" s="254">
        <v>636164.7324524686</v>
      </c>
      <c r="E101" s="254">
        <v>631686.63893544977</v>
      </c>
      <c r="F101" s="255">
        <v>292956.19106116222</v>
      </c>
      <c r="G101" s="254">
        <v>254559.05950054745</v>
      </c>
      <c r="H101" s="256">
        <v>1028516.5963932099</v>
      </c>
      <c r="I101" s="175">
        <v>212004.1905552455</v>
      </c>
      <c r="J101" s="406">
        <f>$C101*Allocations!$B$16</f>
        <v>1075096.063453597</v>
      </c>
      <c r="K101" s="407">
        <f>$C101*Allocations!$B$24</f>
        <v>217488.07191139067</v>
      </c>
      <c r="L101" s="254">
        <f t="shared" si="29"/>
        <v>4348471.5442630714</v>
      </c>
      <c r="M101" s="175">
        <f t="shared" si="30"/>
        <v>1087117.8899999999</v>
      </c>
      <c r="N101" s="264">
        <v>-476362.13229057891</v>
      </c>
      <c r="O101" s="271">
        <f t="shared" si="21"/>
        <v>816222.00307440874</v>
      </c>
      <c r="P101" s="256">
        <f t="shared" si="22"/>
        <v>1132113.1000000001</v>
      </c>
      <c r="Q101" s="257">
        <f t="shared" si="23"/>
        <v>1132113.1000000001</v>
      </c>
      <c r="R101" s="347"/>
      <c r="S101" s="348"/>
      <c r="T101" s="348"/>
      <c r="U101" s="349"/>
      <c r="V101" s="362">
        <f>'Project Final Cost Tracking'!C100</f>
        <v>0</v>
      </c>
      <c r="W101" s="375">
        <f t="shared" si="31"/>
        <v>-315891.09692559135</v>
      </c>
      <c r="X101" s="374">
        <f t="shared" si="24"/>
        <v>-0.2905766705077325</v>
      </c>
      <c r="Y101" s="375">
        <f t="shared" si="32"/>
        <v>5500737.512216853</v>
      </c>
      <c r="Z101" s="376">
        <f t="shared" si="25"/>
        <v>0</v>
      </c>
      <c r="AA101" s="256">
        <f t="shared" si="26"/>
        <v>1292584.1353649877</v>
      </c>
      <c r="AB101" s="276">
        <f t="shared" si="33"/>
        <v>1.8733026035544456E-2</v>
      </c>
      <c r="AC101" s="257">
        <f t="shared" si="27"/>
        <v>0</v>
      </c>
      <c r="AD101" s="255">
        <f>$C101*Allocations!$B$16</f>
        <v>1075096.063453597</v>
      </c>
      <c r="AE101" s="259">
        <f>$C101*Allocations!$B$24</f>
        <v>217488.07191139067</v>
      </c>
      <c r="AF101" s="441">
        <f t="shared" si="28"/>
        <v>-315891.09692559135</v>
      </c>
      <c r="AG101" s="163"/>
      <c r="AH101" s="151"/>
      <c r="AI101" s="161"/>
      <c r="AJ101" s="156"/>
      <c r="AK101" s="155"/>
      <c r="AL101" s="156"/>
      <c r="AM101" s="161"/>
      <c r="AN101" s="156"/>
      <c r="AO101" s="155">
        <f>Woodbury!C10</f>
        <v>1132113.1000000001</v>
      </c>
      <c r="AP101" s="156">
        <f>Woodbury!D10</f>
        <v>1132113.1000000001</v>
      </c>
      <c r="AQ101" s="155"/>
      <c r="AR101" s="156"/>
      <c r="AS101" s="155"/>
      <c r="AT101" s="156"/>
      <c r="AU101" s="155"/>
      <c r="AV101" s="156"/>
      <c r="AW101" s="155"/>
      <c r="AX101" s="156"/>
      <c r="AY101" s="158"/>
      <c r="AZ101" s="151"/>
      <c r="BA101" s="155"/>
      <c r="BB101" s="156"/>
      <c r="BC101" s="159"/>
      <c r="BD101" s="160"/>
      <c r="BE101" s="189"/>
      <c r="BF101" s="186"/>
    </row>
    <row r="102" spans="1:58" ht="13.15" customHeight="1">
      <c r="A102" s="100" t="s">
        <v>99</v>
      </c>
      <c r="B102" s="48">
        <v>98</v>
      </c>
      <c r="C102" s="266">
        <v>4.0520076093622671E-3</v>
      </c>
      <c r="D102" s="254">
        <v>141136.47916891848</v>
      </c>
      <c r="E102" s="254">
        <v>165379.10207309155</v>
      </c>
      <c r="F102" s="255">
        <v>76697.572559230437</v>
      </c>
      <c r="G102" s="254">
        <v>66644.988337442366</v>
      </c>
      <c r="H102" s="256">
        <v>258053.66682428442</v>
      </c>
      <c r="I102" s="175">
        <v>53191.614940144296</v>
      </c>
      <c r="J102" s="406">
        <f>$C102*Allocations!$B$16</f>
        <v>232546.38207642795</v>
      </c>
      <c r="K102" s="407">
        <f>$C102*Allocations!$B$24</f>
        <v>47043.297791737139</v>
      </c>
      <c r="L102" s="254">
        <f t="shared" si="29"/>
        <v>1040693.1037712767</v>
      </c>
      <c r="M102" s="175">
        <f t="shared" si="30"/>
        <v>260173.28</v>
      </c>
      <c r="N102" s="264">
        <v>-118967.59659609705</v>
      </c>
      <c r="O102" s="271">
        <f t="shared" si="21"/>
        <v>160622.08327206803</v>
      </c>
      <c r="P102" s="256">
        <f t="shared" si="22"/>
        <v>0</v>
      </c>
      <c r="Q102" s="257">
        <f t="shared" si="23"/>
        <v>0</v>
      </c>
      <c r="R102" s="347"/>
      <c r="S102" s="348"/>
      <c r="T102" s="348"/>
      <c r="U102" s="349"/>
      <c r="V102" s="362">
        <f>'Project Final Cost Tracking'!C101</f>
        <v>0</v>
      </c>
      <c r="W102" s="375">
        <f t="shared" si="31"/>
        <v>160622.08327206803</v>
      </c>
      <c r="X102" s="374">
        <f t="shared" si="24"/>
        <v>0.61736579279804615</v>
      </c>
      <c r="Y102" s="375">
        <f t="shared" si="32"/>
        <v>1418775.642678811</v>
      </c>
      <c r="Z102" s="376">
        <f t="shared" si="25"/>
        <v>0</v>
      </c>
      <c r="AA102" s="256">
        <f t="shared" si="26"/>
        <v>279589.67986816511</v>
      </c>
      <c r="AB102" s="276">
        <f t="shared" si="33"/>
        <v>4.0520076093622671E-3</v>
      </c>
      <c r="AC102" s="257">
        <f t="shared" si="27"/>
        <v>0</v>
      </c>
      <c r="AD102" s="255">
        <f>$C102*Allocations!$B$16</f>
        <v>232546.38207642795</v>
      </c>
      <c r="AE102" s="259">
        <f>$C102*Allocations!$B$24</f>
        <v>47043.297791737139</v>
      </c>
      <c r="AF102" s="441">
        <f t="shared" si="28"/>
        <v>160622.08327206803</v>
      </c>
      <c r="AG102" s="163"/>
      <c r="AH102" s="151"/>
      <c r="AI102" s="161"/>
      <c r="AJ102" s="156"/>
      <c r="AK102" s="155"/>
      <c r="AL102" s="156"/>
      <c r="AM102" s="161"/>
      <c r="AN102" s="156"/>
      <c r="AO102" s="155"/>
      <c r="AP102" s="156"/>
      <c r="AQ102" s="155"/>
      <c r="AR102" s="156"/>
      <c r="AS102" s="155"/>
      <c r="AT102" s="156"/>
      <c r="AU102" s="155"/>
      <c r="AV102" s="156"/>
      <c r="AW102" s="155"/>
      <c r="AX102" s="156"/>
      <c r="AY102" s="158"/>
      <c r="AZ102" s="151"/>
      <c r="BA102" s="155"/>
      <c r="BB102" s="156"/>
      <c r="BC102" s="159"/>
      <c r="BD102" s="160"/>
      <c r="BE102" s="189"/>
      <c r="BF102" s="186"/>
    </row>
    <row r="103" spans="1:58" ht="13.15" customHeight="1">
      <c r="A103" s="101" t="s">
        <v>100</v>
      </c>
      <c r="B103" s="47">
        <v>99</v>
      </c>
      <c r="C103" s="266">
        <v>9.8619661989101364E-3</v>
      </c>
      <c r="D103" s="258">
        <v>293283.14318299654</v>
      </c>
      <c r="E103" s="258">
        <v>307874.00357640756</v>
      </c>
      <c r="F103" s="247">
        <v>142782.18004815458</v>
      </c>
      <c r="G103" s="258">
        <v>124068.02988132714</v>
      </c>
      <c r="H103" s="332">
        <v>557672.71581265097</v>
      </c>
      <c r="I103" s="178">
        <v>114950.94306228062</v>
      </c>
      <c r="J103" s="408">
        <f>$C103*Allocations!$B$16</f>
        <v>565982.29342356045</v>
      </c>
      <c r="K103" s="409">
        <f>$C103*Allocations!$B$24</f>
        <v>114496.18496160563</v>
      </c>
      <c r="L103" s="258">
        <f t="shared" si="29"/>
        <v>2221109.493948984</v>
      </c>
      <c r="M103" s="178">
        <f t="shared" si="30"/>
        <v>555277.37</v>
      </c>
      <c r="N103" s="387">
        <v>842926.65747560794</v>
      </c>
      <c r="O103" s="271">
        <f t="shared" si="21"/>
        <v>1523405.135860774</v>
      </c>
      <c r="P103" s="256">
        <f t="shared" si="22"/>
        <v>1824565.64</v>
      </c>
      <c r="Q103" s="257">
        <f t="shared" si="23"/>
        <v>749565.6399999999</v>
      </c>
      <c r="R103" s="379"/>
      <c r="S103" s="380"/>
      <c r="T103" s="380"/>
      <c r="U103" s="381"/>
      <c r="V103" s="362">
        <f>'Project Final Cost Tracking'!C102</f>
        <v>0</v>
      </c>
      <c r="W103" s="375">
        <f t="shared" si="31"/>
        <v>773839.49586077407</v>
      </c>
      <c r="X103" s="382">
        <f t="shared" si="24"/>
        <v>1.3936089199182997</v>
      </c>
      <c r="Y103" s="383">
        <f t="shared" si="32"/>
        <v>3835992.6485940213</v>
      </c>
      <c r="Z103" s="376">
        <f t="shared" si="25"/>
        <v>0</v>
      </c>
      <c r="AA103" s="256">
        <f t="shared" si="26"/>
        <v>680478.47838516603</v>
      </c>
      <c r="AB103" s="385">
        <f t="shared" si="33"/>
        <v>9.8619661989101347E-3</v>
      </c>
      <c r="AC103" s="257">
        <f t="shared" si="27"/>
        <v>0</v>
      </c>
      <c r="AD103" s="255">
        <f>$C103*Allocations!$B$16</f>
        <v>565982.29342356045</v>
      </c>
      <c r="AE103" s="259">
        <f>$C103*Allocations!$B$24</f>
        <v>114496.18496160563</v>
      </c>
      <c r="AF103" s="441">
        <f t="shared" si="28"/>
        <v>773839.49586077407</v>
      </c>
      <c r="AG103" s="172"/>
      <c r="AH103" s="169"/>
      <c r="AI103" s="184"/>
      <c r="AJ103" s="167"/>
      <c r="AK103" s="166">
        <f>Wright!C4</f>
        <v>571677.49</v>
      </c>
      <c r="AL103" s="167">
        <f>Wright!D4</f>
        <v>571677.49</v>
      </c>
      <c r="AM103" s="184"/>
      <c r="AN103" s="167"/>
      <c r="AO103" s="166"/>
      <c r="AP103" s="167"/>
      <c r="AQ103" s="166"/>
      <c r="AR103" s="167"/>
      <c r="AS103" s="166"/>
      <c r="AT103" s="167"/>
      <c r="AU103" s="166"/>
      <c r="AV103" s="167"/>
      <c r="AW103" s="166"/>
      <c r="AX103" s="167"/>
      <c r="AY103" s="168"/>
      <c r="AZ103" s="169"/>
      <c r="BA103" s="166">
        <f>Wright!C5</f>
        <v>1252888.1499999999</v>
      </c>
      <c r="BB103" s="167">
        <f>Wright!D5</f>
        <v>177888.14999999991</v>
      </c>
      <c r="BC103" s="170"/>
      <c r="BD103" s="171"/>
      <c r="BE103" s="190"/>
      <c r="BF103" s="186"/>
    </row>
    <row r="104" spans="1:58" ht="12" thickBot="1">
      <c r="B104" s="46"/>
      <c r="C104" s="268">
        <f t="shared" ref="C104:W104" si="34">SUM(C5:C103)</f>
        <v>0.99999999999999989</v>
      </c>
      <c r="D104" s="250">
        <f t="shared" si="34"/>
        <v>36027029.895000003</v>
      </c>
      <c r="E104" s="250">
        <f>SUM(E5:E103)</f>
        <v>35110164.158</v>
      </c>
      <c r="F104" s="262">
        <f>SUM(F5:F103)</f>
        <v>16282978.498000005</v>
      </c>
      <c r="G104" s="330">
        <f>SUM(G5:G103)</f>
        <v>14148803.878505994</v>
      </c>
      <c r="H104" s="331">
        <f t="shared" si="34"/>
        <v>56471448.000000015</v>
      </c>
      <c r="I104" s="329">
        <f t="shared" si="34"/>
        <v>11640243.497000003</v>
      </c>
      <c r="J104" s="410">
        <f>SUM(J5:J103)</f>
        <v>57390411.000000007</v>
      </c>
      <c r="K104" s="411">
        <f>SUM(K5:K103)</f>
        <v>11609873.999999998</v>
      </c>
      <c r="L104" s="270">
        <f t="shared" si="34"/>
        <v>238680952.9265061</v>
      </c>
      <c r="M104" s="388">
        <f t="shared" si="34"/>
        <v>59670238.290000014</v>
      </c>
      <c r="N104" s="389">
        <f>SUM(N5:N103)</f>
        <v>26533305.614509568</v>
      </c>
      <c r="O104" s="390">
        <f t="shared" si="34"/>
        <v>95533590.614509508</v>
      </c>
      <c r="P104" s="364">
        <f t="shared" si="34"/>
        <v>53443200.419999994</v>
      </c>
      <c r="Q104" s="391">
        <f t="shared" si="34"/>
        <v>47278152.294</v>
      </c>
      <c r="R104" s="392">
        <f>SUM(R5:R103)</f>
        <v>4431148.05</v>
      </c>
      <c r="S104" s="393">
        <f>SUM(S5:S103)</f>
        <v>4389618.05</v>
      </c>
      <c r="T104" s="393">
        <f>SUM(T5:T103)</f>
        <v>9355978.4000000004</v>
      </c>
      <c r="U104" s="394">
        <f>SUM(U5:U103)</f>
        <v>9010119.6899999995</v>
      </c>
      <c r="V104" s="395">
        <f t="shared" si="34"/>
        <v>68905.802999999811</v>
      </c>
      <c r="W104" s="396">
        <f t="shared" si="34"/>
        <v>48186532.51750955</v>
      </c>
      <c r="X104" s="397"/>
      <c r="Y104" s="398"/>
      <c r="Z104" s="275">
        <f t="shared" ref="Z104:AF104" si="35">SUM(Z5:Z103)</f>
        <v>0</v>
      </c>
      <c r="AA104" s="363">
        <f t="shared" si="35"/>
        <v>69000285</v>
      </c>
      <c r="AB104" s="399">
        <f t="shared" si="35"/>
        <v>0.99999999999999989</v>
      </c>
      <c r="AC104" s="364">
        <f t="shared" si="35"/>
        <v>0</v>
      </c>
      <c r="AD104" s="272">
        <f t="shared" si="35"/>
        <v>57390411.000000007</v>
      </c>
      <c r="AE104" s="273">
        <f>SUM(AE5:AE103)</f>
        <v>11609873.999999998</v>
      </c>
      <c r="AF104" s="443">
        <f t="shared" si="35"/>
        <v>48186532.51750955</v>
      </c>
      <c r="AG104" s="45">
        <f t="shared" ref="AG104:BE104" si="36">SUM(AG5:AG103)</f>
        <v>13980006.34</v>
      </c>
      <c r="AH104" s="44">
        <f t="shared" si="36"/>
        <v>12980006.34</v>
      </c>
      <c r="AI104" s="43">
        <f t="shared" si="36"/>
        <v>8379023.9800000004</v>
      </c>
      <c r="AJ104" s="38">
        <f t="shared" si="36"/>
        <v>8379023.9800000004</v>
      </c>
      <c r="AK104" s="41">
        <f t="shared" si="36"/>
        <v>7534013.5999999996</v>
      </c>
      <c r="AL104" s="40">
        <f t="shared" si="36"/>
        <v>7534013.5999999996</v>
      </c>
      <c r="AM104" s="39">
        <f t="shared" si="36"/>
        <v>0</v>
      </c>
      <c r="AN104" s="38">
        <f t="shared" si="36"/>
        <v>0</v>
      </c>
      <c r="AO104" s="41">
        <f t="shared" si="36"/>
        <v>4554019.17</v>
      </c>
      <c r="AP104" s="40">
        <f t="shared" si="36"/>
        <v>2673566.2340000002</v>
      </c>
      <c r="AQ104" s="39">
        <f t="shared" si="36"/>
        <v>538162.19999999995</v>
      </c>
      <c r="AR104" s="38">
        <f t="shared" si="36"/>
        <v>538162.19999999995</v>
      </c>
      <c r="AS104" s="39">
        <f t="shared" si="36"/>
        <v>758548.87</v>
      </c>
      <c r="AT104" s="42">
        <f t="shared" si="36"/>
        <v>758548.87</v>
      </c>
      <c r="AU104" s="39">
        <f t="shared" si="36"/>
        <v>2918339.75</v>
      </c>
      <c r="AV104" s="38">
        <f t="shared" si="36"/>
        <v>2918339.75</v>
      </c>
      <c r="AW104" s="41">
        <f t="shared" si="36"/>
        <v>1699701.65</v>
      </c>
      <c r="AX104" s="40">
        <f t="shared" si="36"/>
        <v>1699701.65</v>
      </c>
      <c r="AY104" s="40">
        <f t="shared" si="36"/>
        <v>3854092.62</v>
      </c>
      <c r="AZ104" s="40">
        <f t="shared" si="36"/>
        <v>3834092.62</v>
      </c>
      <c r="BA104" s="41">
        <f t="shared" si="36"/>
        <v>2454813.08</v>
      </c>
      <c r="BB104" s="40">
        <f t="shared" si="36"/>
        <v>1379813.0799999998</v>
      </c>
      <c r="BC104" s="37">
        <f t="shared" si="36"/>
        <v>6772479.1600000001</v>
      </c>
      <c r="BD104" s="36">
        <f t="shared" si="36"/>
        <v>4582883.9700000007</v>
      </c>
      <c r="BE104" s="36">
        <f t="shared" si="36"/>
        <v>0</v>
      </c>
    </row>
    <row r="105" spans="1:58" ht="12" thickTop="1">
      <c r="J105" s="337"/>
      <c r="K105" s="337"/>
      <c r="L105" s="339"/>
      <c r="N105" s="400"/>
      <c r="V105" s="278"/>
      <c r="AH105" s="35">
        <f>IF(AG104=0,0,(AH104/AG104)*100)</f>
        <v>92.846927421350514</v>
      </c>
      <c r="AJ105" s="33">
        <f>IF(AI104=0,0,(AJ104/AI104)*100)</f>
        <v>100</v>
      </c>
      <c r="AL105" s="33">
        <f>IF(AK104=0,0,(AL104/AK104)*100)</f>
        <v>100</v>
      </c>
      <c r="AN105" s="33">
        <f>IF(AM104=0,0,(AN104/AM104)*100)</f>
        <v>0</v>
      </c>
      <c r="AP105" s="34">
        <f>IF(AO104=0,0,(AP104/AO104)*100)</f>
        <v>58.707838816585401</v>
      </c>
      <c r="AR105" s="33">
        <f>IF(AQ104=0,0,(AR104/AQ104)*100)</f>
        <v>100</v>
      </c>
      <c r="AT105" s="33">
        <f>IF(AS104=0,0,(AT104/AS104)*100)</f>
        <v>100</v>
      </c>
      <c r="AV105" s="33">
        <f>IF(AU104=0,0,(AV104/AU104)*100)</f>
        <v>100</v>
      </c>
      <c r="AX105" s="33">
        <f>IF(AW104=0,0,(AX104/AW104)*100)</f>
        <v>100</v>
      </c>
      <c r="AZ105" s="121">
        <f>IF(AY104=0,0,(AZ104/AY104)*100)</f>
        <v>99.481071111363178</v>
      </c>
      <c r="BB105" s="33">
        <f>IF(BA104=0,0,(BB104/BA104)*100)</f>
        <v>56.208478406836569</v>
      </c>
      <c r="BD105" s="33">
        <f>IF(BC104=0,0,(BD104/BC104)*100)</f>
        <v>67.669222181851651</v>
      </c>
      <c r="BE105" s="29"/>
    </row>
    <row r="106" spans="1:58" ht="15" customHeight="1">
      <c r="L106" s="342"/>
      <c r="Z106" s="344"/>
      <c r="AA106" s="405"/>
      <c r="AQ106" s="221"/>
      <c r="AR106" s="221"/>
    </row>
    <row r="107" spans="1:58" ht="12.75" customHeight="1">
      <c r="Z107" s="344"/>
      <c r="AA107" s="405"/>
      <c r="AD107" s="365"/>
      <c r="AQ107" s="221"/>
      <c r="AR107" s="221"/>
    </row>
    <row r="108" spans="1:58" ht="12.75" customHeight="1">
      <c r="AQ108" s="222"/>
      <c r="AR108" s="222"/>
      <c r="AT108" s="346"/>
    </row>
    <row r="109" spans="1:58" ht="12.75" customHeight="1">
      <c r="AQ109" s="222"/>
      <c r="AR109" s="222"/>
    </row>
    <row r="110" spans="1:58" ht="12.75" customHeight="1">
      <c r="AQ110" s="223"/>
      <c r="AR110" s="223"/>
    </row>
    <row r="111" spans="1:58">
      <c r="AQ111" s="223"/>
      <c r="AR111" s="223"/>
    </row>
    <row r="112" spans="1:58">
      <c r="AQ112" s="223"/>
      <c r="AR112" s="223"/>
    </row>
    <row r="113" spans="43:44">
      <c r="AQ113" s="223"/>
      <c r="AR113" s="223"/>
    </row>
    <row r="114" spans="43:44">
      <c r="AQ114" s="223"/>
      <c r="AR114" s="223"/>
    </row>
  </sheetData>
  <mergeCells count="47">
    <mergeCell ref="AS3:AT3"/>
    <mergeCell ref="AU3:AV3"/>
    <mergeCell ref="AQ3:AR3"/>
    <mergeCell ref="Q3:Q4"/>
    <mergeCell ref="W2:W4"/>
    <mergeCell ref="R2:U2"/>
    <mergeCell ref="R3:S3"/>
    <mergeCell ref="T3:U3"/>
    <mergeCell ref="V2:V4"/>
    <mergeCell ref="AA2:AA4"/>
    <mergeCell ref="AB2:AB4"/>
    <mergeCell ref="AC2:AC4"/>
    <mergeCell ref="AE2:AE4"/>
    <mergeCell ref="Y2:Y4"/>
    <mergeCell ref="X2:X4"/>
    <mergeCell ref="Z2:Z4"/>
    <mergeCell ref="AY3:AZ3"/>
    <mergeCell ref="BA3:BB3"/>
    <mergeCell ref="N2:N4"/>
    <mergeCell ref="O2:O4"/>
    <mergeCell ref="P2:Q2"/>
    <mergeCell ref="AW3:AX3"/>
    <mergeCell ref="AI3:AJ3"/>
    <mergeCell ref="AK3:AL3"/>
    <mergeCell ref="AM3:AN3"/>
    <mergeCell ref="AO3:AP3"/>
    <mergeCell ref="AD2:AD4"/>
    <mergeCell ref="AF2:AF4"/>
    <mergeCell ref="AG2:BD2"/>
    <mergeCell ref="BC3:BD3"/>
    <mergeCell ref="AG3:AH3"/>
    <mergeCell ref="P3:P4"/>
    <mergeCell ref="A1:C1"/>
    <mergeCell ref="A2:A4"/>
    <mergeCell ref="B2:B4"/>
    <mergeCell ref="C2:C4"/>
    <mergeCell ref="H3:H4"/>
    <mergeCell ref="F3:F4"/>
    <mergeCell ref="G3:G4"/>
    <mergeCell ref="D3:D4"/>
    <mergeCell ref="D2:M2"/>
    <mergeCell ref="M3:M4"/>
    <mergeCell ref="E3:E4"/>
    <mergeCell ref="L3:L4"/>
    <mergeCell ref="I3:I4"/>
    <mergeCell ref="J3:J4"/>
    <mergeCell ref="K3:K4"/>
  </mergeCells>
  <phoneticPr fontId="17" type="noConversion"/>
  <conditionalFormatting sqref="X5:X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5" location="Dubuque!A1" display="DUBUQUE" xr:uid="{5AD8B7B9-B825-4708-B67B-CA677091A602}"/>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G28" sqref="G28"/>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608</v>
      </c>
      <c r="B1" s="3"/>
      <c r="C1" s="1"/>
      <c r="D1" s="1"/>
      <c r="E1" s="1"/>
      <c r="F1" s="1"/>
      <c r="G1" s="1"/>
      <c r="H1" s="1"/>
      <c r="I1" s="1"/>
      <c r="J1" s="1"/>
      <c r="K1" s="1"/>
      <c r="L1" s="1"/>
      <c r="M1" s="1"/>
      <c r="N1" s="1"/>
      <c r="O1" s="1"/>
      <c r="P1" s="1"/>
      <c r="Q1" s="1"/>
      <c r="R1" s="1"/>
      <c r="S1" s="1"/>
      <c r="T1" s="1"/>
      <c r="U1" s="1"/>
      <c r="V1" s="1"/>
      <c r="W1" s="1"/>
      <c r="X1" s="1"/>
      <c r="Y1" s="1"/>
      <c r="Z1" s="1"/>
      <c r="AA1" s="1"/>
    </row>
    <row r="2" spans="1:27">
      <c r="B2" s="509" t="s">
        <v>563</v>
      </c>
      <c r="C2" s="510"/>
      <c r="D2" s="511"/>
      <c r="E2" s="144"/>
      <c r="F2" s="316" t="s">
        <v>554</v>
      </c>
      <c r="G2" s="309"/>
      <c r="H2" s="309"/>
    </row>
    <row r="3" spans="1:27">
      <c r="B3" s="323">
        <v>4030719</v>
      </c>
      <c r="C3" s="512" t="s">
        <v>564</v>
      </c>
      <c r="D3" s="513"/>
      <c r="E3" s="328"/>
      <c r="F3" s="321">
        <v>97705648</v>
      </c>
      <c r="G3" s="309"/>
      <c r="H3" s="309"/>
    </row>
    <row r="4" spans="1:27" ht="15.75" thickBot="1">
      <c r="B4" s="323">
        <v>3250000</v>
      </c>
      <c r="C4" s="512" t="s">
        <v>577</v>
      </c>
      <c r="D4" s="513"/>
      <c r="E4" s="328"/>
      <c r="F4" s="317"/>
      <c r="G4" s="309"/>
      <c r="H4" s="517" t="s">
        <v>567</v>
      </c>
      <c r="I4" s="517"/>
      <c r="J4" s="517"/>
      <c r="K4" s="517"/>
    </row>
    <row r="5" spans="1:27" ht="15.75" thickBot="1">
      <c r="B5" s="325">
        <f>B3+B4</f>
        <v>7280719</v>
      </c>
      <c r="C5" s="521" t="s">
        <v>566</v>
      </c>
      <c r="D5" s="522"/>
      <c r="E5" s="328"/>
      <c r="F5" s="316" t="s">
        <v>555</v>
      </c>
      <c r="G5" s="309"/>
      <c r="H5" s="515" t="s">
        <v>563</v>
      </c>
      <c r="I5" s="516"/>
    </row>
    <row r="6" spans="1:27">
      <c r="F6" s="320">
        <f>ROUND(36491438*0.2,0)</f>
        <v>7298288</v>
      </c>
      <c r="G6" s="319"/>
      <c r="H6" s="323">
        <v>4030719</v>
      </c>
      <c r="I6" s="324" t="s">
        <v>564</v>
      </c>
    </row>
    <row r="7" spans="1:27">
      <c r="A7" s="297" t="s">
        <v>526</v>
      </c>
      <c r="B7" s="306" t="s">
        <v>0</v>
      </c>
      <c r="C7" s="307" t="s">
        <v>527</v>
      </c>
      <c r="H7" s="323">
        <v>3250000</v>
      </c>
      <c r="I7" s="324" t="s">
        <v>565</v>
      </c>
    </row>
    <row r="8" spans="1:27" ht="15.75" thickBot="1">
      <c r="A8" t="s">
        <v>531</v>
      </c>
      <c r="B8" s="520">
        <v>93410180</v>
      </c>
      <c r="C8" s="520"/>
      <c r="D8" s="303"/>
      <c r="E8" s="303"/>
      <c r="H8" s="325">
        <f>H6+H7</f>
        <v>7280719</v>
      </c>
      <c r="I8" s="326" t="s">
        <v>566</v>
      </c>
    </row>
    <row r="9" spans="1:27">
      <c r="A9" s="308" t="s">
        <v>532</v>
      </c>
      <c r="B9" s="518">
        <f>67423744+11223466+7172538*0.5</f>
        <v>82233479</v>
      </c>
      <c r="C9" s="518"/>
      <c r="D9" s="303" t="s">
        <v>683</v>
      </c>
      <c r="E9" s="303"/>
    </row>
    <row r="10" spans="1:27">
      <c r="A10" s="2" t="s">
        <v>533</v>
      </c>
      <c r="B10" s="154">
        <v>100</v>
      </c>
      <c r="C10" s="154">
        <f>B10</f>
        <v>100</v>
      </c>
      <c r="D10" t="s">
        <v>534</v>
      </c>
      <c r="I10" s="355" t="s">
        <v>684</v>
      </c>
    </row>
    <row r="11" spans="1:27">
      <c r="A11" s="2" t="s">
        <v>547</v>
      </c>
      <c r="B11" s="298">
        <v>0.80100000000000005</v>
      </c>
      <c r="C11" s="298">
        <v>0.19900000000000001</v>
      </c>
      <c r="D11" s="298"/>
      <c r="E11" s="298"/>
      <c r="G11" s="22"/>
    </row>
    <row r="12" spans="1:27">
      <c r="A12" s="308" t="s">
        <v>546</v>
      </c>
      <c r="B12" s="310">
        <f>ROUND((B9-H6)*B11,0)</f>
        <v>62640411</v>
      </c>
      <c r="C12" s="310">
        <f>ROUND((B9-H6)*C11,0)</f>
        <v>15562349</v>
      </c>
    </row>
    <row r="13" spans="1:27">
      <c r="A13" s="308" t="s">
        <v>536</v>
      </c>
      <c r="B13" s="310">
        <v>-2000000</v>
      </c>
      <c r="C13" s="9"/>
      <c r="D13" s="303"/>
      <c r="E13" s="303"/>
      <c r="F13" s="30"/>
    </row>
    <row r="14" spans="1:27">
      <c r="A14" s="2" t="s">
        <v>544</v>
      </c>
      <c r="B14" s="9"/>
      <c r="C14" s="9">
        <f>4030719-H7</f>
        <v>780719</v>
      </c>
      <c r="D14" s="327" t="s">
        <v>576</v>
      </c>
      <c r="E14" s="327"/>
    </row>
    <row r="15" spans="1:27">
      <c r="A15" s="308" t="s">
        <v>575</v>
      </c>
      <c r="B15" s="357">
        <f>-H7</f>
        <v>-3250000</v>
      </c>
      <c r="C15" s="312">
        <f>H7</f>
        <v>3250000</v>
      </c>
      <c r="D15" s="327" t="s">
        <v>652</v>
      </c>
      <c r="E15" s="327"/>
    </row>
    <row r="16" spans="1:27">
      <c r="A16" s="313" t="s">
        <v>549</v>
      </c>
      <c r="B16" s="314">
        <f>B12+B13-H7</f>
        <v>57390411</v>
      </c>
      <c r="C16" s="314">
        <f>C12+C14+C15</f>
        <v>19593068</v>
      </c>
      <c r="D16" s="303"/>
      <c r="E16" s="303"/>
    </row>
    <row r="17" spans="1:9">
      <c r="A17" s="2"/>
      <c r="B17" s="9"/>
    </row>
    <row r="18" spans="1:9" ht="14.45" customHeight="1">
      <c r="A18" s="2" t="s">
        <v>529</v>
      </c>
      <c r="B18" s="520">
        <v>37914363</v>
      </c>
      <c r="C18" s="520"/>
      <c r="D18" s="303"/>
      <c r="E18" s="303"/>
      <c r="F18" s="514" t="s">
        <v>562</v>
      </c>
      <c r="G18" s="514"/>
      <c r="H18" s="514"/>
    </row>
    <row r="19" spans="1:9">
      <c r="A19" s="2" t="s">
        <v>530</v>
      </c>
      <c r="B19" s="519">
        <v>0.51400000000000001</v>
      </c>
      <c r="C19" s="519"/>
      <c r="D19" s="298"/>
      <c r="E19" s="298"/>
      <c r="F19" s="514"/>
      <c r="G19" s="514"/>
      <c r="H19" s="514"/>
    </row>
    <row r="20" spans="1:9">
      <c r="A20" s="308" t="s">
        <v>528</v>
      </c>
      <c r="B20" s="518">
        <f>ROUND(B18*B19,0)</f>
        <v>19487983</v>
      </c>
      <c r="C20" s="518"/>
      <c r="D20" s="303"/>
      <c r="E20" s="303"/>
      <c r="F20" s="514"/>
      <c r="G20" s="514"/>
      <c r="H20" s="514"/>
    </row>
    <row r="21" spans="1:9">
      <c r="A21" s="2" t="s">
        <v>537</v>
      </c>
      <c r="B21" s="298">
        <f>B11</f>
        <v>0.80100000000000005</v>
      </c>
      <c r="C21" s="298">
        <f>C11</f>
        <v>0.19900000000000001</v>
      </c>
      <c r="D21" s="298"/>
      <c r="E21" s="298"/>
      <c r="F21" s="514"/>
      <c r="G21" s="514"/>
      <c r="H21" s="514"/>
    </row>
    <row r="22" spans="1:9">
      <c r="A22" s="308" t="s">
        <v>545</v>
      </c>
      <c r="B22" s="310">
        <f>ROUND(B20*B21,0)</f>
        <v>15609874</v>
      </c>
      <c r="C22" s="310">
        <f>ROUND(B20*C21,0)</f>
        <v>3878109</v>
      </c>
      <c r="D22" s="303"/>
      <c r="E22" s="303"/>
      <c r="F22" s="322"/>
      <c r="G22" s="322"/>
      <c r="H22" s="322"/>
    </row>
    <row r="23" spans="1:9" ht="15" customHeight="1">
      <c r="A23" s="308" t="s">
        <v>535</v>
      </c>
      <c r="B23" s="310">
        <v>4000000</v>
      </c>
      <c r="C23" s="310"/>
      <c r="D23" s="303"/>
      <c r="E23" s="303"/>
      <c r="F23" s="322"/>
      <c r="G23" s="508" t="s">
        <v>685</v>
      </c>
      <c r="H23" s="508"/>
      <c r="I23" s="508"/>
    </row>
    <row r="24" spans="1:9">
      <c r="A24" s="313" t="s">
        <v>548</v>
      </c>
      <c r="B24" s="314">
        <f>B22-B23</f>
        <v>11609874</v>
      </c>
      <c r="C24" s="314">
        <f>C22-C23</f>
        <v>3878109</v>
      </c>
      <c r="D24" s="303"/>
      <c r="E24" s="303"/>
      <c r="G24" s="508"/>
      <c r="H24" s="508"/>
      <c r="I24" s="508"/>
    </row>
    <row r="25" spans="1:9" s="316" customFormat="1">
      <c r="A25" s="299"/>
      <c r="B25" s="302"/>
      <c r="C25" s="302"/>
      <c r="D25" s="356"/>
      <c r="E25" s="356"/>
    </row>
    <row r="26" spans="1:9" s="316" customFormat="1">
      <c r="A26" s="299"/>
      <c r="B26" s="302"/>
      <c r="C26" s="302"/>
      <c r="D26" s="356"/>
      <c r="E26" s="356"/>
      <c r="G26" s="508" t="s">
        <v>686</v>
      </c>
      <c r="H26" s="508"/>
      <c r="I26" s="508"/>
    </row>
    <row r="27" spans="1:9">
      <c r="B27" s="311"/>
      <c r="C27" s="311"/>
      <c r="D27" s="4" t="s">
        <v>656</v>
      </c>
      <c r="E27" s="4"/>
      <c r="G27" s="508"/>
      <c r="H27" s="508"/>
      <c r="I27" s="508"/>
    </row>
    <row r="28" spans="1:9">
      <c r="A28" s="313" t="s">
        <v>653</v>
      </c>
      <c r="B28" s="314">
        <f>B16+B24</f>
        <v>69000285</v>
      </c>
      <c r="C28" s="314">
        <f>C16+C24</f>
        <v>23471177</v>
      </c>
      <c r="D28" s="303">
        <f>B28+C28</f>
        <v>92471462</v>
      </c>
      <c r="E28" s="303"/>
    </row>
    <row r="29" spans="1:9">
      <c r="A29" s="313" t="s">
        <v>654</v>
      </c>
      <c r="B29" s="314">
        <f>-B13+B16+B22</f>
        <v>75000285</v>
      </c>
      <c r="C29" s="314">
        <f>C16+C24</f>
        <v>23471177</v>
      </c>
      <c r="D29" s="303">
        <f t="shared" ref="D29:D30" si="0">B29+C29</f>
        <v>98471462</v>
      </c>
    </row>
    <row r="30" spans="1:9">
      <c r="A30" s="313" t="s">
        <v>655</v>
      </c>
      <c r="B30" s="314">
        <f>-B13-B15+B16+B22</f>
        <v>78250285</v>
      </c>
      <c r="C30" s="314">
        <f>C16+C24</f>
        <v>23471177</v>
      </c>
      <c r="D30" s="303">
        <f t="shared" si="0"/>
        <v>101721462</v>
      </c>
    </row>
    <row r="31" spans="1:9">
      <c r="A31" s="299"/>
      <c r="B31" s="300"/>
    </row>
    <row r="32" spans="1:9">
      <c r="A32" s="299"/>
      <c r="B32" s="301"/>
    </row>
    <row r="33" spans="1:2">
      <c r="A33" s="299"/>
      <c r="B33" s="302"/>
    </row>
  </sheetData>
  <mergeCells count="14">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86" workbookViewId="0">
      <selection activeCell="C104" sqref="C104"/>
    </sheetView>
  </sheetViews>
  <sheetFormatPr defaultRowHeight="15"/>
  <cols>
    <col min="1" max="1" width="11.42578125" customWidth="1"/>
    <col min="3" max="3" width="12.85546875" style="24" customWidth="1"/>
  </cols>
  <sheetData>
    <row r="1" spans="1:4" ht="14.65" customHeight="1">
      <c r="A1" s="526" t="s">
        <v>0</v>
      </c>
      <c r="B1" s="528" t="s">
        <v>1</v>
      </c>
      <c r="C1" s="523" t="s">
        <v>114</v>
      </c>
      <c r="D1" s="17"/>
    </row>
    <row r="2" spans="1:4">
      <c r="A2" s="526"/>
      <c r="B2" s="528"/>
      <c r="C2" s="524"/>
      <c r="D2" s="17"/>
    </row>
    <row r="3" spans="1:4" ht="18.600000000000001" customHeight="1">
      <c r="A3" s="527"/>
      <c r="B3" s="529"/>
      <c r="C3" s="525"/>
      <c r="D3" s="17"/>
    </row>
    <row r="4" spans="1:4" s="15" customFormat="1">
      <c r="A4" s="13" t="s">
        <v>2</v>
      </c>
      <c r="B4" s="14">
        <v>1</v>
      </c>
      <c r="C4" s="23">
        <f>Adair!F22</f>
        <v>-872.68000000005122</v>
      </c>
    </row>
    <row r="5" spans="1:4">
      <c r="A5" s="5" t="s">
        <v>3</v>
      </c>
      <c r="B5" s="6">
        <v>2</v>
      </c>
      <c r="C5" s="23">
        <f>Adams!F6</f>
        <v>0</v>
      </c>
    </row>
    <row r="6" spans="1:4">
      <c r="A6" s="5" t="s">
        <v>4</v>
      </c>
      <c r="B6" s="6">
        <v>3</v>
      </c>
      <c r="C6" s="23">
        <f>Allamakee!F17</f>
        <v>-44440.089999999909</v>
      </c>
    </row>
    <row r="7" spans="1:4">
      <c r="A7" s="5" t="s">
        <v>5</v>
      </c>
      <c r="B7" s="6">
        <v>4</v>
      </c>
      <c r="C7" s="23">
        <f>Appanoose!F19</f>
        <v>-6424.7700000000186</v>
      </c>
    </row>
    <row r="8" spans="1:4">
      <c r="A8" s="7" t="s">
        <v>6</v>
      </c>
      <c r="B8" s="6">
        <v>5</v>
      </c>
      <c r="C8" s="23">
        <f>Audubon!F6</f>
        <v>3015.6300000000047</v>
      </c>
    </row>
    <row r="9" spans="1:4" s="15" customFormat="1">
      <c r="A9" s="13" t="s">
        <v>7</v>
      </c>
      <c r="B9" s="14">
        <v>6</v>
      </c>
      <c r="C9" s="23">
        <f>Benton!F22</f>
        <v>5944.9200000000419</v>
      </c>
    </row>
    <row r="10" spans="1:4">
      <c r="A10" s="7" t="s">
        <v>8</v>
      </c>
      <c r="B10" s="6">
        <v>7</v>
      </c>
      <c r="C10" s="23">
        <f>'Black Hawk'!F20</f>
        <v>12306.650000000081</v>
      </c>
    </row>
    <row r="11" spans="1:4">
      <c r="A11" s="7" t="s">
        <v>9</v>
      </c>
      <c r="B11" s="6">
        <v>8</v>
      </c>
      <c r="C11" s="23">
        <f>Boone!F23</f>
        <v>1820.8500000000349</v>
      </c>
    </row>
    <row r="12" spans="1:4">
      <c r="A12" s="7" t="s">
        <v>10</v>
      </c>
      <c r="B12" s="6">
        <v>9</v>
      </c>
      <c r="C12" s="23">
        <f>Bremer!F22</f>
        <v>-7039.0749999999534</v>
      </c>
    </row>
    <row r="13" spans="1:4">
      <c r="A13" s="7" t="s">
        <v>11</v>
      </c>
      <c r="B13" s="6">
        <v>10</v>
      </c>
      <c r="C13" s="23">
        <f>Buchanan!F6</f>
        <v>0</v>
      </c>
    </row>
    <row r="14" spans="1:4" s="15" customFormat="1">
      <c r="A14" s="13" t="s">
        <v>12</v>
      </c>
      <c r="B14" s="14">
        <v>11</v>
      </c>
      <c r="C14" s="23">
        <f>'Buena Vista'!F19</f>
        <v>0</v>
      </c>
    </row>
    <row r="15" spans="1:4">
      <c r="A15" s="7" t="s">
        <v>13</v>
      </c>
      <c r="B15" s="6">
        <v>12</v>
      </c>
      <c r="C15" s="23">
        <f>Butler!F17</f>
        <v>1128</v>
      </c>
    </row>
    <row r="16" spans="1:4">
      <c r="A16" s="7" t="s">
        <v>14</v>
      </c>
      <c r="B16" s="6">
        <v>13</v>
      </c>
      <c r="C16" s="23">
        <f>Calhoun!F17</f>
        <v>0</v>
      </c>
    </row>
    <row r="17" spans="1:3">
      <c r="A17" s="7" t="s">
        <v>15</v>
      </c>
      <c r="B17" s="6">
        <v>14</v>
      </c>
      <c r="C17" s="23">
        <f>Carroll!F22</f>
        <v>-2513.7300000000396</v>
      </c>
    </row>
    <row r="18" spans="1:3">
      <c r="A18" s="7" t="s">
        <v>16</v>
      </c>
      <c r="B18" s="6">
        <v>15</v>
      </c>
      <c r="C18" s="23">
        <f>Cass!F24</f>
        <v>59111.54999999993</v>
      </c>
    </row>
    <row r="19" spans="1:3" s="15" customFormat="1">
      <c r="A19" s="13" t="s">
        <v>17</v>
      </c>
      <c r="B19" s="14">
        <v>16</v>
      </c>
      <c r="C19" s="23">
        <f>Cedar!F21</f>
        <v>49359.339999999967</v>
      </c>
    </row>
    <row r="20" spans="1:3">
      <c r="A20" s="7" t="s">
        <v>18</v>
      </c>
      <c r="B20" s="6">
        <v>17</v>
      </c>
      <c r="C20" s="23">
        <f>'Cerro Gordo'!F18</f>
        <v>767.13000000000466</v>
      </c>
    </row>
    <row r="21" spans="1:3">
      <c r="A21" s="7" t="s">
        <v>19</v>
      </c>
      <c r="B21" s="6">
        <v>18</v>
      </c>
      <c r="C21" s="23">
        <f>Cherokee!F22</f>
        <v>0</v>
      </c>
    </row>
    <row r="22" spans="1:3">
      <c r="A22" s="7" t="s">
        <v>20</v>
      </c>
      <c r="B22" s="6">
        <v>19</v>
      </c>
      <c r="C22" s="23">
        <f>Chickasaw!F19</f>
        <v>-2883.5099999999802</v>
      </c>
    </row>
    <row r="23" spans="1:3">
      <c r="A23" s="7" t="s">
        <v>21</v>
      </c>
      <c r="B23" s="6">
        <v>20</v>
      </c>
      <c r="C23" s="23">
        <f>Clarke!F23</f>
        <v>106603.72800000003</v>
      </c>
    </row>
    <row r="24" spans="1:3" s="15" customFormat="1">
      <c r="A24" s="13" t="s">
        <v>22</v>
      </c>
      <c r="B24" s="14">
        <v>21</v>
      </c>
      <c r="C24" s="23">
        <f>Clay!F7</f>
        <v>0</v>
      </c>
    </row>
    <row r="25" spans="1:3">
      <c r="A25" s="7" t="s">
        <v>23</v>
      </c>
      <c r="B25" s="6">
        <v>22</v>
      </c>
      <c r="C25" s="23">
        <f>Clayton!F21</f>
        <v>-13601.440000000002</v>
      </c>
    </row>
    <row r="26" spans="1:3">
      <c r="A26" s="7" t="s">
        <v>24</v>
      </c>
      <c r="B26" s="6">
        <v>23</v>
      </c>
      <c r="C26" s="23">
        <f>Clinton!F23</f>
        <v>52390.610000000015</v>
      </c>
    </row>
    <row r="27" spans="1:3">
      <c r="A27" s="7" t="s">
        <v>25</v>
      </c>
      <c r="B27" s="6">
        <v>24</v>
      </c>
      <c r="C27" s="23">
        <f>Crawford!F22</f>
        <v>256.60999999998603</v>
      </c>
    </row>
    <row r="28" spans="1:3">
      <c r="A28" s="7" t="s">
        <v>26</v>
      </c>
      <c r="B28" s="6">
        <v>25</v>
      </c>
      <c r="C28" s="23">
        <f>Dallas!F21</f>
        <v>0</v>
      </c>
    </row>
    <row r="29" spans="1:3" s="15" customFormat="1">
      <c r="A29" s="13" t="s">
        <v>27</v>
      </c>
      <c r="B29" s="14">
        <v>26</v>
      </c>
      <c r="C29" s="23">
        <f>Davis!F21</f>
        <v>-11302.95000000007</v>
      </c>
    </row>
    <row r="30" spans="1:3">
      <c r="A30" s="7" t="s">
        <v>28</v>
      </c>
      <c r="B30" s="6">
        <v>27</v>
      </c>
      <c r="C30" s="23">
        <f>Decatur!F26</f>
        <v>5134.4000000000233</v>
      </c>
    </row>
    <row r="31" spans="1:3">
      <c r="A31" s="10" t="s">
        <v>29</v>
      </c>
      <c r="B31" s="11">
        <v>28</v>
      </c>
      <c r="C31" s="23">
        <f>Delaware!F17</f>
        <v>-12522.329999999958</v>
      </c>
    </row>
    <row r="32" spans="1:3">
      <c r="A32" s="7" t="s">
        <v>30</v>
      </c>
      <c r="B32" s="6">
        <v>29</v>
      </c>
      <c r="C32" s="23">
        <f>'Des Moines'!F21</f>
        <v>-31537.470000000205</v>
      </c>
    </row>
    <row r="33" spans="1:3">
      <c r="A33" s="7" t="s">
        <v>31</v>
      </c>
      <c r="B33" s="6">
        <v>30</v>
      </c>
      <c r="C33" s="23">
        <f>Dickinson!F20</f>
        <v>0</v>
      </c>
    </row>
    <row r="34" spans="1:3" s="15" customFormat="1">
      <c r="A34" s="13" t="s">
        <v>32</v>
      </c>
      <c r="B34" s="14">
        <v>31</v>
      </c>
      <c r="C34" s="23">
        <f>Dubuque!F20</f>
        <v>-1349.0999999999767</v>
      </c>
    </row>
    <row r="35" spans="1:3">
      <c r="A35" s="7" t="s">
        <v>33</v>
      </c>
      <c r="B35" s="6">
        <v>32</v>
      </c>
      <c r="C35" s="23">
        <f>Emmet!F7</f>
        <v>0</v>
      </c>
    </row>
    <row r="36" spans="1:3">
      <c r="A36" s="7" t="s">
        <v>34</v>
      </c>
      <c r="B36" s="6">
        <v>33</v>
      </c>
      <c r="C36" s="23">
        <f>Fayette!F18</f>
        <v>-32774.104999999967</v>
      </c>
    </row>
    <row r="37" spans="1:3">
      <c r="A37" s="7" t="s">
        <v>35</v>
      </c>
      <c r="B37" s="6">
        <v>34</v>
      </c>
      <c r="C37" s="23">
        <f>Floyd!F24</f>
        <v>27032.339999999909</v>
      </c>
    </row>
    <row r="38" spans="1:3">
      <c r="A38" s="7" t="s">
        <v>36</v>
      </c>
      <c r="B38" s="6">
        <v>35</v>
      </c>
      <c r="C38" s="23">
        <f>Franklin!F25</f>
        <v>3515.6699999999837</v>
      </c>
    </row>
    <row r="39" spans="1:3" s="15" customFormat="1">
      <c r="A39" s="13" t="s">
        <v>37</v>
      </c>
      <c r="B39" s="14">
        <v>36</v>
      </c>
      <c r="C39" s="23">
        <f>Fremont!F7</f>
        <v>0</v>
      </c>
    </row>
    <row r="40" spans="1:3">
      <c r="A40" s="7" t="s">
        <v>38</v>
      </c>
      <c r="B40" s="6">
        <v>37</v>
      </c>
      <c r="C40" s="23">
        <f>Greene!F21</f>
        <v>0</v>
      </c>
    </row>
    <row r="41" spans="1:3">
      <c r="A41" s="7" t="s">
        <v>39</v>
      </c>
      <c r="B41" s="6">
        <v>38</v>
      </c>
      <c r="C41" s="23">
        <f>Grundy!F17</f>
        <v>0</v>
      </c>
    </row>
    <row r="42" spans="1:3">
      <c r="A42" s="7" t="s">
        <v>40</v>
      </c>
      <c r="B42" s="6">
        <v>39</v>
      </c>
      <c r="C42" s="23">
        <f>Guthrie!F20</f>
        <v>-12385.410000000149</v>
      </c>
    </row>
    <row r="43" spans="1:3">
      <c r="A43" s="7" t="s">
        <v>41</v>
      </c>
      <c r="B43" s="6">
        <v>40</v>
      </c>
      <c r="C43" s="23">
        <f>Hamilton!F22</f>
        <v>34240.499999999971</v>
      </c>
    </row>
    <row r="44" spans="1:3" s="15" customFormat="1">
      <c r="A44" s="13" t="s">
        <v>42</v>
      </c>
      <c r="B44" s="14">
        <v>41</v>
      </c>
      <c r="C44" s="23">
        <f>Hancock!F27</f>
        <v>-74811.369999999937</v>
      </c>
    </row>
    <row r="45" spans="1:3">
      <c r="A45" s="7" t="s">
        <v>43</v>
      </c>
      <c r="B45" s="6">
        <v>42</v>
      </c>
      <c r="C45" s="23">
        <f>Hardin!F24</f>
        <v>-11024.220000000088</v>
      </c>
    </row>
    <row r="46" spans="1:3">
      <c r="A46" s="7" t="s">
        <v>44</v>
      </c>
      <c r="B46" s="6">
        <v>43</v>
      </c>
      <c r="C46" s="23">
        <f>Harrison!F17</f>
        <v>-754.91999999992549</v>
      </c>
    </row>
    <row r="47" spans="1:3">
      <c r="A47" s="7" t="s">
        <v>45</v>
      </c>
      <c r="B47" s="6">
        <v>44</v>
      </c>
      <c r="C47" s="23">
        <f>Henry!F15</f>
        <v>-7723.8950000000186</v>
      </c>
    </row>
    <row r="48" spans="1:3">
      <c r="A48" s="7" t="s">
        <v>46</v>
      </c>
      <c r="B48" s="6">
        <v>45</v>
      </c>
      <c r="C48" s="23">
        <f>Howard!F26</f>
        <v>5349.1300000000047</v>
      </c>
    </row>
    <row r="49" spans="1:3" s="15" customFormat="1">
      <c r="A49" s="13" t="s">
        <v>47</v>
      </c>
      <c r="B49" s="14">
        <v>46</v>
      </c>
      <c r="C49" s="23">
        <f>Humboldt!F21</f>
        <v>1188.25</v>
      </c>
    </row>
    <row r="50" spans="1:3">
      <c r="A50" s="7" t="s">
        <v>48</v>
      </c>
      <c r="B50" s="6">
        <v>47</v>
      </c>
      <c r="C50" s="23">
        <f>Ida!F9</f>
        <v>-10364.479999999923</v>
      </c>
    </row>
    <row r="51" spans="1:3">
      <c r="A51" s="7" t="s">
        <v>49</v>
      </c>
      <c r="B51" s="6">
        <v>48</v>
      </c>
      <c r="C51" s="23">
        <f>Iowa!F22</f>
        <v>3944.8699999999953</v>
      </c>
    </row>
    <row r="52" spans="1:3">
      <c r="A52" s="7" t="s">
        <v>50</v>
      </c>
      <c r="B52" s="6">
        <v>49</v>
      </c>
      <c r="C52" s="23">
        <f>Jackson!F23</f>
        <v>-15533.400000000052</v>
      </c>
    </row>
    <row r="53" spans="1:3">
      <c r="A53" s="7" t="s">
        <v>51</v>
      </c>
      <c r="B53" s="6">
        <v>50</v>
      </c>
      <c r="C53" s="23">
        <f>Jasper!F23</f>
        <v>38820.989999999991</v>
      </c>
    </row>
    <row r="54" spans="1:3" s="15" customFormat="1">
      <c r="A54" s="13" t="s">
        <v>52</v>
      </c>
      <c r="B54" s="14">
        <v>51</v>
      </c>
      <c r="C54" s="23">
        <f>Jefferson!F12</f>
        <v>-2109.8800000000047</v>
      </c>
    </row>
    <row r="55" spans="1:3">
      <c r="A55" s="7" t="s">
        <v>53</v>
      </c>
      <c r="B55" s="6">
        <v>52</v>
      </c>
      <c r="C55" s="23">
        <f>Johnson!F14</f>
        <v>21194.440000000177</v>
      </c>
    </row>
    <row r="56" spans="1:3">
      <c r="A56" s="7" t="s">
        <v>54</v>
      </c>
      <c r="B56" s="6">
        <v>53</v>
      </c>
      <c r="C56" s="23">
        <f>Jones!F7</f>
        <v>0</v>
      </c>
    </row>
    <row r="57" spans="1:3">
      <c r="A57" s="7" t="s">
        <v>55</v>
      </c>
      <c r="B57" s="6">
        <v>54</v>
      </c>
      <c r="C57" s="23">
        <f>Keokuk!F7</f>
        <v>-11348.300000000047</v>
      </c>
    </row>
    <row r="58" spans="1:3">
      <c r="A58" s="7" t="s">
        <v>56</v>
      </c>
      <c r="B58" s="6">
        <v>55</v>
      </c>
      <c r="C58" s="23">
        <f>Kossuth!F21</f>
        <v>-105805.71999999986</v>
      </c>
    </row>
    <row r="59" spans="1:3" s="15" customFormat="1">
      <c r="A59" s="13" t="s">
        <v>57</v>
      </c>
      <c r="B59" s="14">
        <v>56</v>
      </c>
      <c r="C59" s="23">
        <f>Lee!F20</f>
        <v>2747.6500000000233</v>
      </c>
    </row>
    <row r="60" spans="1:3">
      <c r="A60" s="7" t="s">
        <v>58</v>
      </c>
      <c r="B60" s="6">
        <v>57</v>
      </c>
      <c r="C60" s="23">
        <f>Linn!F21</f>
        <v>6403.7800000000279</v>
      </c>
    </row>
    <row r="61" spans="1:3">
      <c r="A61" s="7" t="s">
        <v>59</v>
      </c>
      <c r="B61" s="6">
        <v>58</v>
      </c>
      <c r="C61" s="23">
        <f>Louisa!F7</f>
        <v>-12073.5</v>
      </c>
    </row>
    <row r="62" spans="1:3">
      <c r="A62" s="7" t="s">
        <v>60</v>
      </c>
      <c r="B62" s="6">
        <v>59</v>
      </c>
      <c r="C62" s="23">
        <f>Lucas!F22</f>
        <v>4157.7600000000093</v>
      </c>
    </row>
    <row r="63" spans="1:3">
      <c r="A63" s="7" t="s">
        <v>61</v>
      </c>
      <c r="B63" s="6">
        <v>60</v>
      </c>
      <c r="C63" s="23">
        <f>Lyon!F23</f>
        <v>0</v>
      </c>
    </row>
    <row r="64" spans="1:3" s="15" customFormat="1">
      <c r="A64" s="13" t="s">
        <v>62</v>
      </c>
      <c r="B64" s="14">
        <v>61</v>
      </c>
      <c r="C64" s="23">
        <f>Madison!F24</f>
        <v>-117123.72999999998</v>
      </c>
    </row>
    <row r="65" spans="1:3">
      <c r="A65" s="7" t="s">
        <v>63</v>
      </c>
      <c r="B65" s="6">
        <v>62</v>
      </c>
      <c r="C65" s="23">
        <f>Mahaska!F24</f>
        <v>0</v>
      </c>
    </row>
    <row r="66" spans="1:3">
      <c r="A66" s="7" t="s">
        <v>64</v>
      </c>
      <c r="B66" s="6">
        <v>63</v>
      </c>
      <c r="C66" s="23">
        <f>Marion!F14</f>
        <v>-46144.709999999963</v>
      </c>
    </row>
    <row r="67" spans="1:3">
      <c r="A67" s="7" t="s">
        <v>65</v>
      </c>
      <c r="B67" s="6">
        <v>64</v>
      </c>
      <c r="C67" s="23">
        <f>Marshall!F24</f>
        <v>0</v>
      </c>
    </row>
    <row r="68" spans="1:3">
      <c r="A68" s="7" t="s">
        <v>66</v>
      </c>
      <c r="B68" s="6">
        <v>65</v>
      </c>
      <c r="C68" s="23">
        <f>Mills!F23</f>
        <v>0</v>
      </c>
    </row>
    <row r="69" spans="1:3" s="15" customFormat="1">
      <c r="A69" s="13" t="s">
        <v>67</v>
      </c>
      <c r="B69" s="14">
        <v>66</v>
      </c>
      <c r="C69" s="23">
        <f>Mitchell!F19</f>
        <v>4687.8099999999395</v>
      </c>
    </row>
    <row r="70" spans="1:3">
      <c r="A70" s="7" t="s">
        <v>68</v>
      </c>
      <c r="B70" s="6">
        <v>67</v>
      </c>
      <c r="C70" s="23">
        <f>Monona!F19</f>
        <v>-8862.6400000001304</v>
      </c>
    </row>
    <row r="71" spans="1:3">
      <c r="A71" s="7" t="s">
        <v>69</v>
      </c>
      <c r="B71" s="6">
        <v>68</v>
      </c>
      <c r="C71" s="23">
        <f>Monroe!F16</f>
        <v>-9072.5899999999674</v>
      </c>
    </row>
    <row r="72" spans="1:3">
      <c r="A72" s="7" t="s">
        <v>70</v>
      </c>
      <c r="B72" s="6">
        <v>69</v>
      </c>
      <c r="C72" s="23">
        <f>Montgomery!F20</f>
        <v>38962.530000000028</v>
      </c>
    </row>
    <row r="73" spans="1:3">
      <c r="A73" s="7" t="s">
        <v>71</v>
      </c>
      <c r="B73" s="6">
        <v>70</v>
      </c>
      <c r="C73" s="23">
        <f>Muscatine!F23</f>
        <v>21770.080000000075</v>
      </c>
    </row>
    <row r="74" spans="1:3" s="15" customFormat="1">
      <c r="A74" s="13" t="s">
        <v>72</v>
      </c>
      <c r="B74" s="14">
        <v>71</v>
      </c>
      <c r="C74" s="23">
        <f>'O''Brien'!F7</f>
        <v>0</v>
      </c>
    </row>
    <row r="75" spans="1:3">
      <c r="A75" s="7" t="s">
        <v>73</v>
      </c>
      <c r="B75" s="6">
        <v>72</v>
      </c>
      <c r="C75" s="23">
        <f>Osceola!F21</f>
        <v>0</v>
      </c>
    </row>
    <row r="76" spans="1:3">
      <c r="A76" s="7" t="s">
        <v>74</v>
      </c>
      <c r="B76" s="6">
        <v>73</v>
      </c>
      <c r="C76" s="23">
        <f>Page!F30</f>
        <v>46785.26999999996</v>
      </c>
    </row>
    <row r="77" spans="1:3">
      <c r="A77" s="7" t="s">
        <v>75</v>
      </c>
      <c r="B77" s="6">
        <v>74</v>
      </c>
      <c r="C77" s="23">
        <f>'Palo Alto'!F20</f>
        <v>-22900.840000000026</v>
      </c>
    </row>
    <row r="78" spans="1:3">
      <c r="A78" s="10" t="s">
        <v>76</v>
      </c>
      <c r="B78" s="11">
        <v>75</v>
      </c>
      <c r="C78" s="23">
        <f>Plymouth!F18</f>
        <v>3135.2800000000279</v>
      </c>
    </row>
    <row r="79" spans="1:3" s="15" customFormat="1">
      <c r="A79" s="13" t="s">
        <v>77</v>
      </c>
      <c r="B79" s="14">
        <v>76</v>
      </c>
      <c r="C79" s="23">
        <f>Pocahontas!F24</f>
        <v>0</v>
      </c>
    </row>
    <row r="80" spans="1:3">
      <c r="A80" s="7" t="s">
        <v>78</v>
      </c>
      <c r="B80" s="6">
        <v>77</v>
      </c>
      <c r="C80" s="23">
        <f>Polk!F22</f>
        <v>-4410.2100000000792</v>
      </c>
    </row>
    <row r="81" spans="1:3">
      <c r="A81" s="7" t="s">
        <v>79</v>
      </c>
      <c r="B81" s="6">
        <v>78</v>
      </c>
      <c r="C81" s="23">
        <f>Pottawattamie!F22</f>
        <v>55129.589999999967</v>
      </c>
    </row>
    <row r="82" spans="1:3">
      <c r="A82" s="7" t="s">
        <v>80</v>
      </c>
      <c r="B82" s="6">
        <v>79</v>
      </c>
      <c r="C82" s="23">
        <f>Poweshiek!F21</f>
        <v>3672.7799999999115</v>
      </c>
    </row>
    <row r="83" spans="1:3">
      <c r="A83" s="7" t="s">
        <v>81</v>
      </c>
      <c r="B83" s="6">
        <v>80</v>
      </c>
      <c r="C83" s="23">
        <f>Ringgold!F16</f>
        <v>65346.349999999977</v>
      </c>
    </row>
    <row r="84" spans="1:3" s="15" customFormat="1">
      <c r="A84" s="13" t="s">
        <v>82</v>
      </c>
      <c r="B84" s="14">
        <v>81</v>
      </c>
      <c r="C84" s="23">
        <f>Sac!F22</f>
        <v>47229.26999999999</v>
      </c>
    </row>
    <row r="85" spans="1:3">
      <c r="A85" s="7" t="s">
        <v>83</v>
      </c>
      <c r="B85" s="6">
        <v>82</v>
      </c>
      <c r="C85" s="23">
        <f>Scott!F17</f>
        <v>36429.859999999957</v>
      </c>
    </row>
    <row r="86" spans="1:3">
      <c r="A86" s="7" t="s">
        <v>84</v>
      </c>
      <c r="B86" s="6">
        <v>83</v>
      </c>
      <c r="C86" s="23">
        <f>Shelby!F7</f>
        <v>11169.830000000016</v>
      </c>
    </row>
    <row r="87" spans="1:3">
      <c r="A87" s="7" t="s">
        <v>85</v>
      </c>
      <c r="B87" s="6">
        <v>84</v>
      </c>
      <c r="C87" s="23">
        <f>Sioux!F20</f>
        <v>0</v>
      </c>
    </row>
    <row r="88" spans="1:3">
      <c r="A88" s="7" t="s">
        <v>86</v>
      </c>
      <c r="B88" s="6">
        <v>85</v>
      </c>
      <c r="C88" s="23">
        <f>Story!F20</f>
        <v>-9361.5600000000268</v>
      </c>
    </row>
    <row r="89" spans="1:3" s="15" customFormat="1">
      <c r="A89" s="13" t="s">
        <v>87</v>
      </c>
      <c r="B89" s="14">
        <v>86</v>
      </c>
      <c r="C89" s="23">
        <f>Tama!F27</f>
        <v>16655.419999999925</v>
      </c>
    </row>
    <row r="90" spans="1:3">
      <c r="A90" s="7" t="s">
        <v>88</v>
      </c>
      <c r="B90" s="6">
        <v>87</v>
      </c>
      <c r="C90" s="23">
        <f>Taylor!F7</f>
        <v>0</v>
      </c>
    </row>
    <row r="91" spans="1:3">
      <c r="A91" s="7" t="s">
        <v>89</v>
      </c>
      <c r="B91" s="6">
        <v>88</v>
      </c>
      <c r="C91" s="23">
        <f>Union!F24</f>
        <v>29133.629999999946</v>
      </c>
    </row>
    <row r="92" spans="1:3">
      <c r="A92" s="7" t="s">
        <v>90</v>
      </c>
      <c r="B92" s="6">
        <v>89</v>
      </c>
      <c r="C92" s="23">
        <f>'Van Buren'!F23</f>
        <v>0</v>
      </c>
    </row>
    <row r="93" spans="1:3">
      <c r="A93" s="7" t="s">
        <v>91</v>
      </c>
      <c r="B93" s="6">
        <v>90</v>
      </c>
      <c r="C93" s="23">
        <f>Wapello!F18</f>
        <v>-52087.249999999913</v>
      </c>
    </row>
    <row r="94" spans="1:3" s="15" customFormat="1">
      <c r="A94" s="13" t="s">
        <v>92</v>
      </c>
      <c r="B94" s="14">
        <v>91</v>
      </c>
      <c r="C94" s="23">
        <f>Warren!F18</f>
        <v>-13595.389999999985</v>
      </c>
    </row>
    <row r="95" spans="1:3">
      <c r="A95" s="12" t="s">
        <v>93</v>
      </c>
      <c r="B95" s="11">
        <v>92</v>
      </c>
      <c r="C95" s="23">
        <f>Washington!F28</f>
        <v>-12390.550000000134</v>
      </c>
    </row>
    <row r="96" spans="1:3">
      <c r="A96" s="8" t="s">
        <v>94</v>
      </c>
      <c r="B96" s="6">
        <v>93</v>
      </c>
      <c r="C96" s="23">
        <f>Wayne!F27</f>
        <v>0</v>
      </c>
    </row>
    <row r="97" spans="1:3">
      <c r="A97" s="8" t="s">
        <v>95</v>
      </c>
      <c r="B97" s="6">
        <v>94</v>
      </c>
      <c r="C97" s="23">
        <f>Webster!F19</f>
        <v>20392.270000000019</v>
      </c>
    </row>
    <row r="98" spans="1:3">
      <c r="A98" s="8" t="s">
        <v>96</v>
      </c>
      <c r="B98" s="6">
        <v>95</v>
      </c>
      <c r="C98" s="23">
        <f>Winnebago!F25</f>
        <v>-4135.8399999999965</v>
      </c>
    </row>
    <row r="99" spans="1:3" s="15" customFormat="1">
      <c r="A99" s="16" t="s">
        <v>97</v>
      </c>
      <c r="B99" s="14">
        <v>96</v>
      </c>
      <c r="C99" s="23">
        <f>Winneshiek!F19</f>
        <v>-46747.309999999823</v>
      </c>
    </row>
    <row r="100" spans="1:3">
      <c r="A100" s="8" t="s">
        <v>98</v>
      </c>
      <c r="B100" s="6">
        <v>97</v>
      </c>
      <c r="C100" s="23">
        <f>Woodbury!F22</f>
        <v>0</v>
      </c>
    </row>
    <row r="101" spans="1:3">
      <c r="A101" s="8" t="s">
        <v>99</v>
      </c>
      <c r="B101" s="6">
        <v>98</v>
      </c>
      <c r="C101" s="23">
        <f>Worth!F21</f>
        <v>0</v>
      </c>
    </row>
    <row r="102" spans="1:3">
      <c r="A102" s="7" t="s">
        <v>100</v>
      </c>
      <c r="B102" s="6">
        <v>99</v>
      </c>
      <c r="C102" s="23">
        <f>Wright!F25</f>
        <v>0</v>
      </c>
    </row>
    <row r="103" spans="1:3" s="15" customFormat="1">
      <c r="C103" s="23">
        <f>SUM(C4:C102)</f>
        <v>68905.802999999811</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G38"/>
  <sheetViews>
    <sheetView workbookViewId="0">
      <selection activeCell="E3" sqref="E3"/>
    </sheetView>
  </sheetViews>
  <sheetFormatPr defaultRowHeight="15"/>
  <cols>
    <col min="2" max="2" width="22" bestFit="1" customWidth="1"/>
    <col min="3" max="3" width="12" bestFit="1" customWidth="1"/>
    <col min="4" max="4" width="12.5703125" customWidth="1"/>
    <col min="5" max="5" width="12.85546875" customWidth="1"/>
    <col min="6" max="6" width="15.140625" customWidth="1"/>
  </cols>
  <sheetData>
    <row r="1" spans="1:6" ht="15.75" thickBot="1">
      <c r="A1" s="530" t="s">
        <v>122</v>
      </c>
      <c r="B1" s="531"/>
      <c r="C1" s="531"/>
      <c r="D1" s="531"/>
      <c r="E1" s="531"/>
      <c r="F1" s="532"/>
    </row>
    <row r="2" spans="1:6" ht="46.5" thickBot="1">
      <c r="A2" s="25" t="s">
        <v>110</v>
      </c>
      <c r="B2" s="79" t="s">
        <v>111</v>
      </c>
      <c r="C2" s="80" t="s">
        <v>112</v>
      </c>
      <c r="D2" s="80" t="s">
        <v>247</v>
      </c>
      <c r="E2" s="80" t="s">
        <v>121</v>
      </c>
      <c r="F2" s="26" t="s">
        <v>113</v>
      </c>
    </row>
    <row r="3" spans="1:6">
      <c r="A3" s="71">
        <v>44306</v>
      </c>
      <c r="B3" s="72" t="s">
        <v>419</v>
      </c>
      <c r="C3" s="73">
        <v>544955.75</v>
      </c>
      <c r="D3" s="73">
        <f>C3</f>
        <v>544955.75</v>
      </c>
      <c r="E3" s="73">
        <v>544083.06999999995</v>
      </c>
      <c r="F3" s="74">
        <f>IF(ISBLANK($E3),"----",$E3-$D3)</f>
        <v>-872.68000000005122</v>
      </c>
    </row>
    <row r="4" spans="1:6">
      <c r="A4" s="91">
        <v>44880</v>
      </c>
      <c r="B4" s="106" t="s">
        <v>587</v>
      </c>
      <c r="C4" s="85">
        <v>1223831.8700000001</v>
      </c>
      <c r="D4" s="85">
        <f>C4</f>
        <v>1223831.8700000001</v>
      </c>
      <c r="E4" s="85"/>
      <c r="F4" s="86" t="str">
        <f>IF(ISBLANK($E4),"----",$E4-$D4)</f>
        <v>----</v>
      </c>
    </row>
    <row r="5" spans="1:6">
      <c r="A5" s="107"/>
      <c r="B5" s="108"/>
      <c r="C5" s="90"/>
      <c r="D5" s="90"/>
      <c r="E5" s="90"/>
      <c r="F5" s="86" t="str">
        <f t="shared" ref="F5:F20" si="0">IF(ISBLANK($E5),"----",$E5-$D5)</f>
        <v>----</v>
      </c>
    </row>
    <row r="6" spans="1:6">
      <c r="A6" s="107"/>
      <c r="B6" s="108"/>
      <c r="C6" s="90"/>
      <c r="D6" s="90"/>
      <c r="E6" s="90"/>
      <c r="F6" s="86" t="str">
        <f t="shared" si="0"/>
        <v>----</v>
      </c>
    </row>
    <row r="7" spans="1:6">
      <c r="A7" s="107"/>
      <c r="B7" s="108"/>
      <c r="C7" s="90"/>
      <c r="D7" s="90"/>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7">
      <c r="A17" s="107"/>
      <c r="B17" s="108"/>
      <c r="C17" s="90"/>
      <c r="D17" s="90"/>
      <c r="E17" s="90"/>
      <c r="F17" s="86" t="str">
        <f t="shared" si="0"/>
        <v>----</v>
      </c>
    </row>
    <row r="18" spans="1:7">
      <c r="A18" s="107"/>
      <c r="B18" s="108"/>
      <c r="C18" s="90"/>
      <c r="D18" s="90"/>
      <c r="E18" s="90"/>
      <c r="F18" s="86" t="str">
        <f t="shared" si="0"/>
        <v>----</v>
      </c>
    </row>
    <row r="19" spans="1:7">
      <c r="A19" s="107"/>
      <c r="B19" s="108"/>
      <c r="C19" s="90"/>
      <c r="D19" s="90"/>
      <c r="E19" s="90"/>
      <c r="F19" s="86" t="str">
        <f t="shared" si="0"/>
        <v>----</v>
      </c>
    </row>
    <row r="20" spans="1:7">
      <c r="A20" s="123"/>
      <c r="B20" s="124"/>
      <c r="C20" s="125"/>
      <c r="D20" s="125"/>
      <c r="E20" s="125"/>
      <c r="F20" s="86" t="str">
        <f t="shared" si="0"/>
        <v>----</v>
      </c>
    </row>
    <row r="21" spans="1:7" ht="15.75" thickBot="1">
      <c r="A21" s="75"/>
      <c r="B21" s="76"/>
      <c r="C21" s="77"/>
      <c r="D21" s="77"/>
      <c r="E21" s="77"/>
      <c r="F21" s="78" t="str">
        <f>IF(ISBLANK($E21),"----",$E21-$D21)</f>
        <v>----</v>
      </c>
    </row>
    <row r="22" spans="1:7" ht="15.75" thickBot="1">
      <c r="A22" s="28"/>
      <c r="B22" s="28"/>
      <c r="C22" s="29"/>
      <c r="D22" s="29"/>
      <c r="E22" s="29"/>
      <c r="F22" s="70">
        <f>SUM(F3:F21)</f>
        <v>-872.68000000005122</v>
      </c>
    </row>
    <row r="23" spans="1:7">
      <c r="A23" s="17"/>
      <c r="B23" s="17"/>
      <c r="C23" s="18"/>
      <c r="D23" s="18"/>
      <c r="E23" s="18"/>
      <c r="F23" s="18"/>
      <c r="G23" s="17"/>
    </row>
    <row r="24" spans="1:7">
      <c r="A24" s="17"/>
      <c r="B24" s="17"/>
      <c r="C24" s="18"/>
      <c r="D24" s="18"/>
      <c r="E24" s="18"/>
      <c r="F24" s="18"/>
      <c r="G24" s="17"/>
    </row>
    <row r="25" spans="1:7">
      <c r="A25" s="17"/>
      <c r="B25" s="17"/>
      <c r="C25" s="18"/>
      <c r="D25" s="18"/>
      <c r="E25" s="18"/>
      <c r="F25" s="18"/>
      <c r="G25" s="17"/>
    </row>
    <row r="26" spans="1:7">
      <c r="A26" s="17"/>
      <c r="B26" s="17"/>
      <c r="C26" s="18"/>
      <c r="D26" s="18"/>
      <c r="E26" s="18"/>
      <c r="F26" s="18"/>
      <c r="G26" s="17"/>
    </row>
    <row r="27" spans="1:7">
      <c r="A27" s="17"/>
      <c r="B27" s="17"/>
      <c r="C27" s="18"/>
      <c r="D27" s="18"/>
      <c r="E27" s="18"/>
      <c r="F27" s="18"/>
      <c r="G27" s="17"/>
    </row>
    <row r="28" spans="1:7">
      <c r="A28" s="17"/>
      <c r="B28" s="17"/>
      <c r="C28" s="18"/>
      <c r="D28" s="18"/>
      <c r="E28" s="18"/>
      <c r="F28" s="18"/>
      <c r="G28" s="17"/>
    </row>
    <row r="29" spans="1:7">
      <c r="A29" s="17"/>
      <c r="B29" s="17"/>
      <c r="C29" s="18"/>
      <c r="D29" s="18"/>
      <c r="E29" s="18"/>
      <c r="F29" s="18"/>
      <c r="G29" s="17"/>
    </row>
    <row r="30" spans="1:7">
      <c r="A30" s="17"/>
      <c r="B30" s="17"/>
      <c r="C30" s="18"/>
      <c r="D30" s="18"/>
      <c r="E30" s="18"/>
      <c r="F30" s="18"/>
      <c r="G30" s="17"/>
    </row>
    <row r="31" spans="1:7">
      <c r="A31" s="17"/>
      <c r="B31" s="17"/>
      <c r="C31" s="18"/>
      <c r="D31" s="18"/>
      <c r="E31" s="18"/>
      <c r="F31" s="18"/>
      <c r="G31" s="17"/>
    </row>
    <row r="32" spans="1:7">
      <c r="A32" s="17"/>
      <c r="B32" s="17"/>
      <c r="C32" s="18"/>
      <c r="D32" s="18"/>
      <c r="E32" s="18"/>
      <c r="F32" s="18"/>
      <c r="G32" s="17"/>
    </row>
    <row r="33" spans="1:7">
      <c r="A33" s="17"/>
      <c r="B33" s="17"/>
      <c r="C33" s="18"/>
      <c r="D33" s="18"/>
      <c r="E33" s="18"/>
      <c r="F33" s="18"/>
      <c r="G33" s="17"/>
    </row>
    <row r="34" spans="1:7">
      <c r="A34" s="17"/>
      <c r="B34" s="17"/>
      <c r="C34" s="18"/>
      <c r="D34" s="18"/>
      <c r="E34" s="18"/>
      <c r="F34" s="18"/>
      <c r="G34" s="17"/>
    </row>
    <row r="35" spans="1:7">
      <c r="A35" s="17"/>
      <c r="B35" s="17"/>
      <c r="C35" s="18"/>
      <c r="D35" s="18"/>
      <c r="E35" s="18"/>
      <c r="F35" s="18"/>
      <c r="G35" s="17"/>
    </row>
    <row r="36" spans="1:7">
      <c r="A36" s="17"/>
      <c r="B36" s="17"/>
      <c r="C36" s="18"/>
      <c r="D36" s="18"/>
      <c r="E36" s="18"/>
      <c r="F36" s="18"/>
      <c r="G36" s="17"/>
    </row>
    <row r="37" spans="1:7">
      <c r="C37" s="19"/>
      <c r="D37" s="19"/>
      <c r="E37" s="19"/>
      <c r="F37" s="19"/>
    </row>
    <row r="38" spans="1:7">
      <c r="C38" s="19"/>
      <c r="D38" s="19"/>
      <c r="E38" s="19"/>
      <c r="F38" s="19"/>
    </row>
  </sheetData>
  <mergeCells count="1">
    <mergeCell ref="A1:F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G25"/>
  <sheetViews>
    <sheetView workbookViewId="0">
      <selection activeCell="E3" sqref="E3"/>
    </sheetView>
  </sheetViews>
  <sheetFormatPr defaultRowHeight="15"/>
  <cols>
    <col min="2" max="2" width="22" bestFit="1" customWidth="1"/>
    <col min="3" max="5" width="10.7109375" bestFit="1" customWidth="1"/>
    <col min="6" max="6" width="11.7109375" customWidth="1"/>
  </cols>
  <sheetData>
    <row r="1" spans="1:7" ht="14.25" customHeight="1" thickBot="1">
      <c r="A1" s="530" t="s">
        <v>123</v>
      </c>
      <c r="B1" s="531"/>
      <c r="C1" s="531"/>
      <c r="D1" s="531"/>
      <c r="E1" s="531"/>
      <c r="F1" s="532"/>
    </row>
    <row r="2" spans="1:7" ht="57.75" thickBot="1">
      <c r="A2" s="25" t="s">
        <v>110</v>
      </c>
      <c r="B2" s="79" t="s">
        <v>111</v>
      </c>
      <c r="C2" s="80" t="s">
        <v>112</v>
      </c>
      <c r="D2" s="80" t="s">
        <v>120</v>
      </c>
      <c r="E2" s="80" t="s">
        <v>121</v>
      </c>
      <c r="F2" s="26" t="s">
        <v>113</v>
      </c>
    </row>
    <row r="3" spans="1:7">
      <c r="A3" s="71">
        <v>44180</v>
      </c>
      <c r="B3" s="72" t="s">
        <v>357</v>
      </c>
      <c r="C3" s="73">
        <v>774105.11</v>
      </c>
      <c r="D3" s="73">
        <f>C3</f>
        <v>774105.11</v>
      </c>
      <c r="E3" s="73"/>
      <c r="F3" s="74" t="str">
        <f>IF(ISBLANK($E3),"----",$E3-$D3)</f>
        <v>----</v>
      </c>
    </row>
    <row r="4" spans="1:7">
      <c r="A4" s="94"/>
      <c r="B4" s="95"/>
      <c r="C4" s="87"/>
      <c r="D4" s="87"/>
      <c r="E4" s="87"/>
      <c r="F4" s="88" t="str">
        <f>IF(ISBLANK($E4),"----",$E4-$D4)</f>
        <v>----</v>
      </c>
    </row>
    <row r="5" spans="1:7" ht="15.75" thickBot="1">
      <c r="A5" s="75"/>
      <c r="B5" s="76"/>
      <c r="C5" s="77"/>
      <c r="D5" s="77"/>
      <c r="E5" s="77"/>
      <c r="F5" s="78" t="str">
        <f>IF(ISBLANK($E5),"----",$E5-$D5)</f>
        <v>----</v>
      </c>
    </row>
    <row r="6" spans="1:7" ht="15.75" thickBot="1">
      <c r="A6" s="28"/>
      <c r="B6" s="28"/>
      <c r="C6" s="29"/>
      <c r="D6" s="29"/>
      <c r="E6" s="29"/>
      <c r="F6" s="70">
        <f>SUM(F3:F5)</f>
        <v>0</v>
      </c>
      <c r="G6" s="17"/>
    </row>
    <row r="7" spans="1:7">
      <c r="A7" s="17"/>
      <c r="B7" s="17"/>
      <c r="C7" s="20"/>
      <c r="D7" s="20"/>
      <c r="E7" s="20"/>
      <c r="F7" s="20"/>
      <c r="G7" s="17"/>
    </row>
    <row r="8" spans="1:7">
      <c r="A8" s="17"/>
      <c r="B8" s="17"/>
      <c r="C8" s="20"/>
      <c r="D8" s="20"/>
      <c r="E8" s="20"/>
      <c r="F8" s="20"/>
      <c r="G8" s="17"/>
    </row>
    <row r="9" spans="1:7">
      <c r="A9" s="17"/>
      <c r="B9" s="17"/>
      <c r="C9" s="20"/>
      <c r="D9" s="20"/>
      <c r="E9" s="20"/>
      <c r="F9" s="20"/>
      <c r="G9" s="17"/>
    </row>
    <row r="10" spans="1:7">
      <c r="A10" s="17"/>
      <c r="B10" s="17"/>
      <c r="C10" s="20"/>
      <c r="D10" s="20"/>
      <c r="E10" s="20"/>
      <c r="F10" s="20"/>
      <c r="G10" s="17"/>
    </row>
    <row r="11" spans="1:7">
      <c r="A11" s="17"/>
      <c r="B11" s="17"/>
      <c r="C11" s="20"/>
      <c r="D11" s="20"/>
      <c r="E11" s="20"/>
      <c r="F11" s="20"/>
      <c r="G11" s="17"/>
    </row>
    <row r="12" spans="1:7">
      <c r="A12" s="17"/>
      <c r="B12" s="17"/>
      <c r="C12" s="20"/>
      <c r="D12" s="20"/>
      <c r="E12" s="20"/>
      <c r="F12" s="20"/>
      <c r="G12" s="17"/>
    </row>
    <row r="13" spans="1:7">
      <c r="A13" s="17"/>
      <c r="B13" s="17"/>
      <c r="C13" s="20"/>
      <c r="D13" s="20"/>
      <c r="E13" s="20"/>
      <c r="F13" s="20"/>
      <c r="G13" s="17"/>
    </row>
    <row r="14" spans="1:7">
      <c r="A14" s="17"/>
      <c r="B14" s="17"/>
      <c r="C14" s="20"/>
      <c r="D14" s="20"/>
      <c r="E14" s="20"/>
      <c r="F14" s="20"/>
      <c r="G14" s="17"/>
    </row>
    <row r="15" spans="1:7">
      <c r="A15" s="17"/>
      <c r="B15" s="17"/>
      <c r="C15" s="20"/>
      <c r="D15" s="20"/>
      <c r="E15" s="20"/>
      <c r="F15" s="20"/>
      <c r="G15" s="17"/>
    </row>
    <row r="16" spans="1:7">
      <c r="A16" s="17"/>
      <c r="B16" s="17"/>
      <c r="C16" s="20"/>
      <c r="D16" s="20"/>
      <c r="E16" s="20"/>
      <c r="F16" s="20"/>
      <c r="G16" s="17"/>
    </row>
    <row r="17" spans="1:7">
      <c r="A17" s="17"/>
      <c r="B17" s="17"/>
      <c r="C17" s="20"/>
      <c r="D17" s="20"/>
      <c r="E17" s="20"/>
      <c r="F17" s="20"/>
      <c r="G17" s="17"/>
    </row>
    <row r="18" spans="1:7">
      <c r="A18" s="17"/>
      <c r="B18" s="17"/>
      <c r="C18" s="20"/>
      <c r="D18" s="20"/>
      <c r="E18" s="20"/>
      <c r="F18" s="20"/>
      <c r="G18" s="17"/>
    </row>
    <row r="19" spans="1:7">
      <c r="A19" s="17"/>
      <c r="B19" s="17"/>
      <c r="C19" s="20"/>
      <c r="D19" s="20"/>
      <c r="E19" s="20"/>
      <c r="F19" s="20"/>
      <c r="G19" s="17"/>
    </row>
    <row r="20" spans="1:7">
      <c r="A20" s="17"/>
      <c r="B20" s="17"/>
      <c r="C20" s="20"/>
      <c r="D20" s="20"/>
      <c r="E20" s="20"/>
      <c r="F20" s="20"/>
      <c r="G20" s="17"/>
    </row>
    <row r="21" spans="1:7">
      <c r="A21" s="17"/>
      <c r="B21" s="17"/>
      <c r="C21" s="20"/>
      <c r="D21" s="20"/>
      <c r="E21" s="20"/>
      <c r="F21" s="20"/>
      <c r="G21" s="17"/>
    </row>
    <row r="22" spans="1:7">
      <c r="C22" s="21"/>
      <c r="D22" s="21"/>
      <c r="E22" s="21"/>
      <c r="F22" s="21"/>
    </row>
    <row r="23" spans="1:7">
      <c r="C23" s="21"/>
      <c r="D23" s="21"/>
      <c r="E23" s="21"/>
      <c r="F23" s="21"/>
    </row>
    <row r="24" spans="1:7">
      <c r="C24" s="22"/>
      <c r="D24" s="22"/>
      <c r="E24" s="22"/>
      <c r="F24" s="22"/>
    </row>
    <row r="25" spans="1:7">
      <c r="C25" s="22"/>
      <c r="D25" s="22"/>
      <c r="E25" s="22"/>
      <c r="F25" s="22"/>
    </row>
  </sheetData>
  <mergeCells count="1">
    <mergeCell ref="A1:F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G36"/>
  <sheetViews>
    <sheetView workbookViewId="0">
      <selection activeCell="E5" sqref="E5"/>
    </sheetView>
  </sheetViews>
  <sheetFormatPr defaultRowHeight="15"/>
  <cols>
    <col min="2" max="2" width="22.7109375" bestFit="1" customWidth="1"/>
    <col min="3" max="4" width="12" bestFit="1" customWidth="1"/>
    <col min="5" max="5" width="14.5703125" customWidth="1"/>
    <col min="6" max="6" width="11.7109375" customWidth="1"/>
  </cols>
  <sheetData>
    <row r="1" spans="1:7" ht="14.25" customHeight="1" thickBot="1">
      <c r="A1" s="530" t="s">
        <v>124</v>
      </c>
      <c r="B1" s="531"/>
      <c r="C1" s="531"/>
      <c r="D1" s="531"/>
      <c r="E1" s="531"/>
      <c r="F1" s="532"/>
    </row>
    <row r="2" spans="1:7" ht="57.75" thickBot="1">
      <c r="A2" s="25" t="s">
        <v>110</v>
      </c>
      <c r="B2" s="79" t="s">
        <v>111</v>
      </c>
      <c r="C2" s="80" t="s">
        <v>112</v>
      </c>
      <c r="D2" s="80" t="s">
        <v>120</v>
      </c>
      <c r="E2" s="80" t="s">
        <v>121</v>
      </c>
      <c r="F2" s="26" t="s">
        <v>113</v>
      </c>
    </row>
    <row r="3" spans="1:7">
      <c r="A3" s="71">
        <v>44180</v>
      </c>
      <c r="B3" s="72" t="s">
        <v>358</v>
      </c>
      <c r="C3" s="73">
        <v>1449876.73</v>
      </c>
      <c r="D3" s="73">
        <f>C3</f>
        <v>1449876.73</v>
      </c>
      <c r="E3" s="73">
        <v>1415481.86</v>
      </c>
      <c r="F3" s="74">
        <f>IF(ISBLANK($E3),"----",$E3-$D3)</f>
        <v>-34394.869999999879</v>
      </c>
    </row>
    <row r="4" spans="1:7">
      <c r="A4" s="204">
        <v>44216</v>
      </c>
      <c r="B4" s="205" t="s">
        <v>369</v>
      </c>
      <c r="C4" s="206">
        <v>799366.85</v>
      </c>
      <c r="D4" s="206">
        <f>C4</f>
        <v>799366.85</v>
      </c>
      <c r="E4" s="206"/>
      <c r="F4" s="207" t="str">
        <f t="shared" ref="F4:F14" si="0">IF(ISBLANK($E4),"----",$E4-$D4)</f>
        <v>----</v>
      </c>
      <c r="G4" t="s">
        <v>389</v>
      </c>
    </row>
    <row r="5" spans="1:7">
      <c r="A5" s="107">
        <v>44216</v>
      </c>
      <c r="B5" s="108" t="s">
        <v>370</v>
      </c>
      <c r="C5" s="90">
        <v>700452.45</v>
      </c>
      <c r="D5" s="90">
        <v>326996.01</v>
      </c>
      <c r="E5" s="90">
        <v>316950.78999999998</v>
      </c>
      <c r="F5" s="126">
        <f t="shared" si="0"/>
        <v>-10045.22000000003</v>
      </c>
    </row>
    <row r="6" spans="1:7">
      <c r="A6" s="107">
        <v>44334</v>
      </c>
      <c r="B6" s="108" t="s">
        <v>369</v>
      </c>
      <c r="C6" s="90">
        <v>808094.85</v>
      </c>
      <c r="D6" s="90">
        <f>C6</f>
        <v>808094.85</v>
      </c>
      <c r="E6" s="90"/>
      <c r="F6" s="126" t="str">
        <f t="shared" si="0"/>
        <v>----</v>
      </c>
    </row>
    <row r="7" spans="1:7">
      <c r="A7" s="107"/>
      <c r="B7" s="108"/>
      <c r="C7" s="90"/>
      <c r="D7" s="90"/>
      <c r="E7" s="90"/>
      <c r="F7" s="126" t="str">
        <f t="shared" si="0"/>
        <v>----</v>
      </c>
    </row>
    <row r="8" spans="1:7">
      <c r="A8" s="107"/>
      <c r="B8" s="108"/>
      <c r="C8" s="90"/>
      <c r="D8" s="90"/>
      <c r="E8" s="90"/>
      <c r="F8" s="126" t="str">
        <f t="shared" si="0"/>
        <v>----</v>
      </c>
    </row>
    <row r="9" spans="1:7">
      <c r="A9" s="107"/>
      <c r="B9" s="108"/>
      <c r="C9" s="90"/>
      <c r="D9" s="90"/>
      <c r="E9" s="90"/>
      <c r="F9" s="126" t="str">
        <f t="shared" si="0"/>
        <v>----</v>
      </c>
    </row>
    <row r="10" spans="1:7">
      <c r="A10" s="107"/>
      <c r="B10" s="108"/>
      <c r="C10" s="90"/>
      <c r="D10" s="90"/>
      <c r="E10" s="90"/>
      <c r="F10" s="126" t="str">
        <f t="shared" si="0"/>
        <v>----</v>
      </c>
    </row>
    <row r="11" spans="1:7">
      <c r="A11" s="107"/>
      <c r="B11" s="108"/>
      <c r="C11" s="90"/>
      <c r="D11" s="90"/>
      <c r="E11" s="90"/>
      <c r="F11" s="126" t="str">
        <f t="shared" si="0"/>
        <v>----</v>
      </c>
    </row>
    <row r="12" spans="1:7">
      <c r="A12" s="107"/>
      <c r="B12" s="108"/>
      <c r="C12" s="90"/>
      <c r="D12" s="90"/>
      <c r="E12" s="90"/>
      <c r="F12" s="126" t="str">
        <f t="shared" si="0"/>
        <v>----</v>
      </c>
    </row>
    <row r="13" spans="1:7">
      <c r="A13" s="107"/>
      <c r="B13" s="108"/>
      <c r="C13" s="90"/>
      <c r="D13" s="90"/>
      <c r="E13" s="90"/>
      <c r="F13" s="126" t="str">
        <f t="shared" si="0"/>
        <v>----</v>
      </c>
    </row>
    <row r="14" spans="1:7">
      <c r="A14" s="107"/>
      <c r="B14" s="108"/>
      <c r="C14" s="90"/>
      <c r="D14" s="90"/>
      <c r="E14" s="90"/>
      <c r="F14" s="126" t="str">
        <f t="shared" si="0"/>
        <v>----</v>
      </c>
    </row>
    <row r="15" spans="1:7">
      <c r="A15" s="123"/>
      <c r="B15" s="124"/>
      <c r="C15" s="125"/>
      <c r="D15" s="125"/>
      <c r="E15" s="125"/>
      <c r="F15" s="126" t="str">
        <f>IF(ISBLANK($E15),"----",$E15-$D15)</f>
        <v>----</v>
      </c>
    </row>
    <row r="16" spans="1:7" ht="15.75" thickBot="1">
      <c r="A16" s="75"/>
      <c r="B16" s="76"/>
      <c r="C16" s="77"/>
      <c r="D16" s="77"/>
      <c r="E16" s="77"/>
      <c r="F16" s="78" t="str">
        <f>IF(ISBLANK($E16),"----",$E16-$D16)</f>
        <v>----</v>
      </c>
    </row>
    <row r="17" spans="1:7" ht="15.75" thickBot="1">
      <c r="A17" s="28"/>
      <c r="B17" s="28"/>
      <c r="C17" s="29"/>
      <c r="D17" s="29"/>
      <c r="E17" s="29"/>
      <c r="F17" s="70">
        <f>SUM(F3:F16)</f>
        <v>-44440.089999999909</v>
      </c>
      <c r="G17" s="17"/>
    </row>
    <row r="18" spans="1:7">
      <c r="A18" s="17"/>
      <c r="B18" s="17"/>
      <c r="C18" s="20"/>
      <c r="D18" s="20"/>
      <c r="E18" s="20"/>
      <c r="F18" s="20"/>
      <c r="G18" s="17"/>
    </row>
    <row r="19" spans="1:7">
      <c r="A19" s="17"/>
      <c r="B19" s="17"/>
      <c r="C19" s="20"/>
      <c r="D19" s="20"/>
      <c r="E19" s="20"/>
      <c r="F19" s="20"/>
      <c r="G19" s="17"/>
    </row>
    <row r="20" spans="1:7">
      <c r="A20" s="17"/>
      <c r="B20" s="17"/>
      <c r="C20" s="20"/>
      <c r="D20" s="20"/>
      <c r="E20" s="20"/>
      <c r="F20" s="20"/>
      <c r="G20" s="17"/>
    </row>
    <row r="21" spans="1:7">
      <c r="A21" s="17"/>
      <c r="B21" s="17"/>
      <c r="C21" s="20"/>
      <c r="D21" s="20"/>
      <c r="E21" s="20"/>
      <c r="F21" s="20"/>
      <c r="G21" s="17"/>
    </row>
    <row r="22" spans="1:7">
      <c r="A22" s="17"/>
      <c r="B22" s="17"/>
      <c r="C22" s="20"/>
      <c r="D22" s="20"/>
      <c r="E22" s="20"/>
      <c r="F22" s="20"/>
      <c r="G22" s="17"/>
    </row>
    <row r="23" spans="1:7">
      <c r="A23" s="17"/>
      <c r="B23" s="17"/>
      <c r="C23" s="20"/>
      <c r="D23" s="20"/>
      <c r="E23" s="20"/>
      <c r="F23" s="20"/>
      <c r="G23" s="17"/>
    </row>
    <row r="24" spans="1:7">
      <c r="A24" s="17"/>
      <c r="B24" s="17"/>
      <c r="C24" s="20"/>
      <c r="D24" s="20"/>
      <c r="E24" s="20"/>
      <c r="F24" s="20"/>
      <c r="G24" s="17"/>
    </row>
    <row r="25" spans="1:7">
      <c r="A25" s="17"/>
      <c r="B25" s="17"/>
      <c r="C25" s="20"/>
      <c r="D25" s="20"/>
      <c r="E25" s="20"/>
      <c r="F25" s="20"/>
      <c r="G25" s="17"/>
    </row>
    <row r="26" spans="1:7">
      <c r="A26" s="17"/>
      <c r="B26" s="17"/>
      <c r="C26" s="20"/>
      <c r="D26" s="20"/>
      <c r="E26" s="20"/>
      <c r="F26" s="20"/>
      <c r="G26" s="17"/>
    </row>
    <row r="27" spans="1:7">
      <c r="A27" s="17"/>
      <c r="B27" s="17"/>
      <c r="C27" s="20"/>
      <c r="D27" s="20"/>
      <c r="E27" s="20"/>
      <c r="F27" s="20"/>
      <c r="G27" s="17"/>
    </row>
    <row r="28" spans="1:7">
      <c r="A28" s="17"/>
      <c r="B28" s="17"/>
      <c r="C28" s="20"/>
      <c r="D28" s="20"/>
      <c r="E28" s="20"/>
      <c r="F28" s="20"/>
      <c r="G28" s="17"/>
    </row>
    <row r="29" spans="1:7">
      <c r="A29" s="17"/>
      <c r="B29" s="17"/>
      <c r="C29" s="20"/>
      <c r="D29" s="20"/>
      <c r="E29" s="20"/>
      <c r="F29" s="20"/>
      <c r="G29" s="17"/>
    </row>
    <row r="30" spans="1:7">
      <c r="A30" s="17"/>
      <c r="B30" s="17"/>
      <c r="C30" s="20"/>
      <c r="D30" s="20"/>
      <c r="E30" s="20"/>
      <c r="F30" s="20"/>
      <c r="G30" s="17"/>
    </row>
    <row r="31" spans="1:7">
      <c r="A31" s="17"/>
      <c r="B31" s="17"/>
      <c r="C31" s="20"/>
      <c r="D31" s="20"/>
      <c r="E31" s="20"/>
      <c r="F31" s="20"/>
      <c r="G31" s="17"/>
    </row>
    <row r="32" spans="1:7">
      <c r="A32" s="17"/>
      <c r="B32" s="17"/>
      <c r="C32" s="20"/>
      <c r="D32" s="20"/>
      <c r="E32" s="20"/>
      <c r="F32" s="20"/>
      <c r="G32" s="17"/>
    </row>
    <row r="33" spans="3:6">
      <c r="C33" s="21"/>
      <c r="D33" s="21"/>
      <c r="E33" s="21"/>
      <c r="F33" s="21"/>
    </row>
    <row r="34" spans="3:6">
      <c r="C34" s="21"/>
      <c r="D34" s="21"/>
      <c r="E34" s="21"/>
      <c r="F34" s="21"/>
    </row>
    <row r="35" spans="3:6">
      <c r="C35" s="22"/>
      <c r="D35" s="22"/>
      <c r="E35" s="22"/>
      <c r="F35" s="22"/>
    </row>
    <row r="36" spans="3:6">
      <c r="C36" s="22"/>
      <c r="D36" s="22"/>
      <c r="E36" s="22"/>
      <c r="F36" s="22"/>
    </row>
  </sheetData>
  <mergeCells count="1">
    <mergeCell ref="A1:F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F20"/>
  <sheetViews>
    <sheetView workbookViewId="0">
      <selection activeCell="E4" sqref="E3:E4"/>
    </sheetView>
  </sheetViews>
  <sheetFormatPr defaultRowHeight="15"/>
  <cols>
    <col min="2" max="2" width="23.7109375" bestFit="1" customWidth="1"/>
    <col min="3" max="3" width="10.7109375" bestFit="1" customWidth="1"/>
    <col min="4" max="4" width="12.28515625" customWidth="1"/>
    <col min="5" max="5" width="10.5703125" customWidth="1"/>
    <col min="6" max="6" width="11.5703125" customWidth="1"/>
  </cols>
  <sheetData>
    <row r="1" spans="1:6" ht="15.75" thickBot="1">
      <c r="A1" s="530" t="s">
        <v>134</v>
      </c>
      <c r="B1" s="531"/>
      <c r="C1" s="531"/>
      <c r="D1" s="531"/>
      <c r="E1" s="531"/>
      <c r="F1" s="532"/>
    </row>
    <row r="2" spans="1:6" ht="57.75" thickBot="1">
      <c r="A2" s="25" t="s">
        <v>110</v>
      </c>
      <c r="B2" s="79" t="s">
        <v>111</v>
      </c>
      <c r="C2" s="80" t="s">
        <v>112</v>
      </c>
      <c r="D2" s="80" t="s">
        <v>120</v>
      </c>
      <c r="E2" s="80" t="s">
        <v>121</v>
      </c>
      <c r="F2" s="26" t="s">
        <v>113</v>
      </c>
    </row>
    <row r="3" spans="1:6">
      <c r="A3" s="71">
        <v>43788</v>
      </c>
      <c r="B3" s="72" t="s">
        <v>421</v>
      </c>
      <c r="C3" s="73">
        <v>271442.26</v>
      </c>
      <c r="D3" s="73">
        <f>C3</f>
        <v>271442.26</v>
      </c>
      <c r="E3" s="73">
        <v>267887.15999999997</v>
      </c>
      <c r="F3" s="74">
        <f>IF(ISBLANK($E3),"----",$E3-$D3)</f>
        <v>-3555.1000000000349</v>
      </c>
    </row>
    <row r="4" spans="1:6">
      <c r="A4" s="91">
        <v>44306</v>
      </c>
      <c r="B4" s="106" t="s">
        <v>420</v>
      </c>
      <c r="C4" s="85">
        <v>333064.84999999998</v>
      </c>
      <c r="D4" s="85">
        <f>C4</f>
        <v>333064.84999999998</v>
      </c>
      <c r="E4" s="85">
        <v>330195.18</v>
      </c>
      <c r="F4" s="86">
        <f t="shared" ref="F4:F16" si="0">IF(ISBLANK($E4),"----",$E4-$D4)</f>
        <v>-2869.6699999999837</v>
      </c>
    </row>
    <row r="5" spans="1:6">
      <c r="A5" s="107">
        <v>44880</v>
      </c>
      <c r="B5" s="108" t="s">
        <v>588</v>
      </c>
      <c r="C5" s="90">
        <v>584006.48</v>
      </c>
      <c r="D5" s="90">
        <f>C5</f>
        <v>584006.48</v>
      </c>
      <c r="E5" s="90"/>
      <c r="F5" s="122" t="str">
        <f t="shared" si="0"/>
        <v>----</v>
      </c>
    </row>
    <row r="6" spans="1:6">
      <c r="A6" s="107">
        <v>45279</v>
      </c>
      <c r="B6" s="108" t="s">
        <v>702</v>
      </c>
      <c r="C6" s="415">
        <v>563972.6</v>
      </c>
      <c r="D6" s="415">
        <f>C6</f>
        <v>563972.6</v>
      </c>
      <c r="E6" s="90"/>
      <c r="F6" s="122" t="str">
        <f t="shared" si="0"/>
        <v>----</v>
      </c>
    </row>
    <row r="7" spans="1:6">
      <c r="A7" s="107">
        <v>45279</v>
      </c>
      <c r="B7" s="108" t="s">
        <v>703</v>
      </c>
      <c r="C7" s="415">
        <v>742313.3</v>
      </c>
      <c r="D7" s="415">
        <f>C7</f>
        <v>742313.3</v>
      </c>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23"/>
      <c r="B17" s="124"/>
      <c r="C17" s="125"/>
      <c r="D17" s="125"/>
      <c r="E17" s="125"/>
      <c r="F17" s="126" t="str">
        <f>IF(ISBLANK($E17),"----",$E17-$D17)</f>
        <v>----</v>
      </c>
    </row>
    <row r="18" spans="1:6" ht="15.75" thickBot="1">
      <c r="A18" s="75"/>
      <c r="B18" s="76"/>
      <c r="C18" s="77"/>
      <c r="D18" s="77"/>
      <c r="E18" s="77"/>
      <c r="F18" s="78" t="str">
        <f>IF(ISBLANK($E18),"----",$E18-$D18)</f>
        <v>----</v>
      </c>
    </row>
    <row r="19" spans="1:6" ht="15.75" thickBot="1">
      <c r="A19" s="28"/>
      <c r="B19" s="28"/>
      <c r="C19" s="29"/>
      <c r="D19" s="29"/>
      <c r="E19" s="29"/>
      <c r="F19" s="70">
        <f>SUM(F3:F18)</f>
        <v>-6424.7700000000186</v>
      </c>
    </row>
    <row r="20" spans="1:6">
      <c r="A20" s="17"/>
      <c r="B20" s="17"/>
      <c r="C20" s="20"/>
      <c r="D20" s="20"/>
      <c r="E20" s="20"/>
      <c r="F20" s="20"/>
    </row>
  </sheetData>
  <mergeCells count="1">
    <mergeCell ref="A1:F1"/>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F6"/>
  <sheetViews>
    <sheetView workbookViewId="0">
      <selection activeCell="E15" sqref="E15"/>
    </sheetView>
  </sheetViews>
  <sheetFormatPr defaultRowHeight="15"/>
  <cols>
    <col min="2" max="2" width="22.85546875" bestFit="1" customWidth="1"/>
    <col min="3" max="4" width="10.7109375" bestFit="1" customWidth="1"/>
    <col min="5" max="5" width="12.28515625" customWidth="1"/>
    <col min="6" max="6" width="12.5703125" customWidth="1"/>
  </cols>
  <sheetData>
    <row r="1" spans="1:6" ht="15.75" thickBot="1">
      <c r="A1" s="530" t="s">
        <v>172</v>
      </c>
      <c r="B1" s="531"/>
      <c r="C1" s="531"/>
      <c r="D1" s="531"/>
      <c r="E1" s="531"/>
      <c r="F1" s="532"/>
    </row>
    <row r="2" spans="1:6" ht="57.75" thickBot="1">
      <c r="A2" s="25" t="s">
        <v>110</v>
      </c>
      <c r="B2" s="79" t="s">
        <v>111</v>
      </c>
      <c r="C2" s="80" t="s">
        <v>112</v>
      </c>
      <c r="D2" s="80" t="s">
        <v>120</v>
      </c>
      <c r="E2" s="80" t="s">
        <v>121</v>
      </c>
      <c r="F2" s="26" t="s">
        <v>113</v>
      </c>
    </row>
    <row r="3" spans="1:6">
      <c r="A3" s="71">
        <v>43852</v>
      </c>
      <c r="B3" s="72" t="s">
        <v>173</v>
      </c>
      <c r="C3" s="73">
        <v>527745.1</v>
      </c>
      <c r="D3" s="73">
        <f>C3</f>
        <v>527745.1</v>
      </c>
      <c r="E3" s="73">
        <v>530913.64</v>
      </c>
      <c r="F3" s="74">
        <f>IF(ISBLANK($E3),"----",$E3-$D3)</f>
        <v>3168.5400000000373</v>
      </c>
    </row>
    <row r="4" spans="1:6">
      <c r="A4" s="94">
        <v>44153</v>
      </c>
      <c r="B4" s="95" t="s">
        <v>324</v>
      </c>
      <c r="C4" s="87">
        <v>575300.88</v>
      </c>
      <c r="D4" s="87">
        <f>C4</f>
        <v>575300.88</v>
      </c>
      <c r="E4" s="87">
        <v>575147.97</v>
      </c>
      <c r="F4" s="88">
        <f>IF(ISBLANK($E4),"----",$E4-$D4)</f>
        <v>-152.9100000000326</v>
      </c>
    </row>
    <row r="5" spans="1:6" ht="15.75" thickBot="1">
      <c r="A5" s="75"/>
      <c r="B5" s="76"/>
      <c r="C5" s="77"/>
      <c r="D5" s="77"/>
      <c r="E5" s="77"/>
      <c r="F5" s="78" t="str">
        <f>IF(ISBLANK($E5),"----",$E5-$D5)</f>
        <v>----</v>
      </c>
    </row>
    <row r="6" spans="1:6" ht="15.75" thickBot="1">
      <c r="A6" s="28"/>
      <c r="B6" s="28"/>
      <c r="C6" s="29"/>
      <c r="D6" s="29"/>
      <c r="E6" s="29"/>
      <c r="F6" s="70">
        <f>SUM(F3:F5)</f>
        <v>3015.6300000000047</v>
      </c>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G22"/>
  <sheetViews>
    <sheetView workbookViewId="0">
      <selection activeCell="E4" sqref="E3:E4"/>
    </sheetView>
  </sheetViews>
  <sheetFormatPr defaultRowHeight="15"/>
  <cols>
    <col min="2" max="2" width="23" bestFit="1" customWidth="1"/>
    <col min="3" max="3" width="11.140625" bestFit="1" customWidth="1"/>
    <col min="4" max="4" width="11.7109375" customWidth="1"/>
    <col min="5" max="5" width="13.28515625" customWidth="1"/>
    <col min="6" max="6" width="9.85546875" customWidth="1"/>
  </cols>
  <sheetData>
    <row r="1" spans="1:7" ht="15.75" thickBot="1">
      <c r="A1" s="530" t="s">
        <v>248</v>
      </c>
      <c r="B1" s="531"/>
      <c r="C1" s="531"/>
      <c r="D1" s="531"/>
      <c r="E1" s="531"/>
      <c r="F1" s="532"/>
    </row>
    <row r="2" spans="1:7" ht="57.75" thickBot="1">
      <c r="A2" s="25" t="s">
        <v>110</v>
      </c>
      <c r="B2" s="79" t="s">
        <v>111</v>
      </c>
      <c r="C2" s="80" t="s">
        <v>112</v>
      </c>
      <c r="D2" s="80" t="s">
        <v>120</v>
      </c>
      <c r="E2" s="80" t="s">
        <v>121</v>
      </c>
      <c r="F2" s="26" t="s">
        <v>113</v>
      </c>
    </row>
    <row r="3" spans="1:7">
      <c r="A3" s="71">
        <v>43998</v>
      </c>
      <c r="B3" s="72" t="s">
        <v>290</v>
      </c>
      <c r="C3" s="73">
        <v>372896.05</v>
      </c>
      <c r="D3" s="73">
        <f>C3</f>
        <v>372896.05</v>
      </c>
      <c r="E3" s="73">
        <v>382349.78</v>
      </c>
      <c r="F3" s="74">
        <f>IF(ISBLANK($E3),"----",$E3-$D3)</f>
        <v>9453.7300000000396</v>
      </c>
    </row>
    <row r="4" spans="1:7">
      <c r="A4" s="91">
        <v>44089</v>
      </c>
      <c r="B4" s="106" t="s">
        <v>303</v>
      </c>
      <c r="C4" s="85">
        <v>276665.5</v>
      </c>
      <c r="D4" s="85">
        <f>C4</f>
        <v>276665.5</v>
      </c>
      <c r="E4" s="85">
        <v>273156.69</v>
      </c>
      <c r="F4" s="86">
        <f>IF(ISBLANK($E4),"----",$E4-$D4)</f>
        <v>-3508.8099999999977</v>
      </c>
    </row>
    <row r="5" spans="1:7">
      <c r="A5" s="94">
        <v>44124</v>
      </c>
      <c r="B5" s="95" t="s">
        <v>308</v>
      </c>
      <c r="C5" s="87">
        <f>1808794.7/2</f>
        <v>904397.35</v>
      </c>
      <c r="D5" s="87">
        <f>361758.94/2</f>
        <v>180879.47</v>
      </c>
      <c r="E5" s="87"/>
      <c r="F5" s="86" t="str">
        <f t="shared" ref="F5:F20" si="0">IF(ISBLANK($E5),"----",$E5-$D5)</f>
        <v>----</v>
      </c>
      <c r="G5" t="s">
        <v>322</v>
      </c>
    </row>
    <row r="6" spans="1:7">
      <c r="A6" s="533">
        <v>44153</v>
      </c>
      <c r="B6" s="128" t="s">
        <v>325</v>
      </c>
      <c r="C6" s="129">
        <v>731263.3</v>
      </c>
      <c r="D6" s="129">
        <v>335268.3</v>
      </c>
      <c r="E6" s="129"/>
      <c r="F6" s="86" t="str">
        <f t="shared" si="0"/>
        <v>----</v>
      </c>
    </row>
    <row r="7" spans="1:7">
      <c r="A7" s="534"/>
      <c r="B7" s="128" t="s">
        <v>326</v>
      </c>
      <c r="C7" s="129">
        <v>350956.95</v>
      </c>
      <c r="D7" s="129">
        <v>77856.95</v>
      </c>
      <c r="E7" s="129"/>
      <c r="F7" s="86" t="str">
        <f t="shared" si="0"/>
        <v>----</v>
      </c>
    </row>
    <row r="8" spans="1:7">
      <c r="A8" s="534"/>
      <c r="B8" s="128" t="s">
        <v>327</v>
      </c>
      <c r="C8" s="129">
        <v>437207.5</v>
      </c>
      <c r="D8" s="129">
        <v>218727.5</v>
      </c>
      <c r="E8" s="129"/>
      <c r="F8" s="86" t="str">
        <f t="shared" si="0"/>
        <v>----</v>
      </c>
    </row>
    <row r="9" spans="1:7">
      <c r="A9" s="535"/>
      <c r="B9" s="128" t="s">
        <v>328</v>
      </c>
      <c r="C9" s="129">
        <v>413012.45</v>
      </c>
      <c r="D9" s="129">
        <v>249152.45</v>
      </c>
      <c r="E9" s="129"/>
      <c r="F9" s="86" t="str">
        <f t="shared" si="0"/>
        <v>----</v>
      </c>
    </row>
    <row r="10" spans="1:7">
      <c r="A10" s="127">
        <v>44180</v>
      </c>
      <c r="B10" s="128" t="s">
        <v>359</v>
      </c>
      <c r="C10" s="129">
        <v>635596.5</v>
      </c>
      <c r="D10" s="129">
        <f>C10</f>
        <v>635596.5</v>
      </c>
      <c r="E10" s="129"/>
      <c r="F10" s="86" t="str">
        <f t="shared" si="0"/>
        <v>----</v>
      </c>
    </row>
    <row r="11" spans="1:7">
      <c r="A11" s="127">
        <v>44460</v>
      </c>
      <c r="B11" s="128" t="s">
        <v>454</v>
      </c>
      <c r="C11" s="129">
        <v>335557.5</v>
      </c>
      <c r="D11" s="129">
        <f>C11</f>
        <v>335557.5</v>
      </c>
      <c r="E11" s="129"/>
      <c r="F11" s="86" t="str">
        <f t="shared" si="0"/>
        <v>----</v>
      </c>
    </row>
    <row r="12" spans="1:7">
      <c r="A12" s="127">
        <v>44670</v>
      </c>
      <c r="B12" s="128" t="s">
        <v>518</v>
      </c>
      <c r="C12" s="129">
        <v>259701.6</v>
      </c>
      <c r="D12" s="129">
        <f>C12</f>
        <v>259701.6</v>
      </c>
      <c r="E12" s="129"/>
      <c r="F12" s="86" t="str">
        <f t="shared" si="0"/>
        <v>----</v>
      </c>
    </row>
    <row r="13" spans="1:7">
      <c r="A13" s="294">
        <v>44824</v>
      </c>
      <c r="B13" s="295" t="s">
        <v>568</v>
      </c>
      <c r="C13" s="296">
        <v>485498.38</v>
      </c>
      <c r="D13" s="296">
        <f>C13</f>
        <v>485498.38</v>
      </c>
      <c r="E13" s="296"/>
      <c r="F13" s="86" t="str">
        <f t="shared" si="0"/>
        <v>----</v>
      </c>
    </row>
    <row r="14" spans="1:7">
      <c r="A14" s="294"/>
      <c r="B14" s="295"/>
      <c r="C14" s="296"/>
      <c r="D14" s="296"/>
      <c r="E14" s="296"/>
      <c r="F14" s="86" t="str">
        <f t="shared" si="0"/>
        <v>----</v>
      </c>
    </row>
    <row r="15" spans="1:7">
      <c r="A15" s="294"/>
      <c r="B15" s="295"/>
      <c r="C15" s="296"/>
      <c r="D15" s="296"/>
      <c r="E15" s="296"/>
      <c r="F15" s="86" t="str">
        <f t="shared" si="0"/>
        <v>----</v>
      </c>
    </row>
    <row r="16" spans="1:7">
      <c r="A16" s="294"/>
      <c r="B16" s="295"/>
      <c r="C16" s="296"/>
      <c r="D16" s="296"/>
      <c r="E16" s="296"/>
      <c r="F16" s="86" t="str">
        <f t="shared" si="0"/>
        <v>----</v>
      </c>
    </row>
    <row r="17" spans="1:6">
      <c r="A17" s="294"/>
      <c r="B17" s="295"/>
      <c r="C17" s="296"/>
      <c r="D17" s="296"/>
      <c r="E17" s="296"/>
      <c r="F17" s="86" t="str">
        <f t="shared" si="0"/>
        <v>----</v>
      </c>
    </row>
    <row r="18" spans="1:6">
      <c r="A18" s="294"/>
      <c r="B18" s="295"/>
      <c r="C18" s="296"/>
      <c r="D18" s="296"/>
      <c r="E18" s="296"/>
      <c r="F18" s="86" t="str">
        <f t="shared" si="0"/>
        <v>----</v>
      </c>
    </row>
    <row r="19" spans="1:6">
      <c r="A19" s="294"/>
      <c r="B19" s="295"/>
      <c r="C19" s="296"/>
      <c r="D19" s="296"/>
      <c r="E19" s="296"/>
      <c r="F19" s="86" t="str">
        <f t="shared" si="0"/>
        <v>----</v>
      </c>
    </row>
    <row r="20" spans="1:6">
      <c r="A20" s="130"/>
      <c r="B20" s="131"/>
      <c r="C20" s="132"/>
      <c r="D20" s="132"/>
      <c r="E20" s="132"/>
      <c r="F20" s="86" t="str">
        <f t="shared" si="0"/>
        <v>----</v>
      </c>
    </row>
    <row r="21" spans="1:6" ht="15.75" thickBot="1">
      <c r="A21" s="75"/>
      <c r="B21" s="76"/>
      <c r="C21" s="77"/>
      <c r="D21" s="77"/>
      <c r="E21" s="77"/>
      <c r="F21" s="78" t="str">
        <f>IF(ISBLANK($E21),"----",$E21-$D21)</f>
        <v>----</v>
      </c>
    </row>
    <row r="22" spans="1:6" ht="15.75" thickBot="1">
      <c r="A22" s="28"/>
      <c r="B22" s="28"/>
      <c r="C22" s="29"/>
      <c r="D22" s="29"/>
      <c r="E22" s="29"/>
      <c r="F22" s="70">
        <f>SUM(F3:F21)</f>
        <v>5944.9200000000419</v>
      </c>
    </row>
  </sheetData>
  <mergeCells count="2">
    <mergeCell ref="A1:F1"/>
    <mergeCell ref="A6:A9"/>
  </mergeCells>
  <phoneticPr fontId="1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F20"/>
  <sheetViews>
    <sheetView workbookViewId="0">
      <selection activeCell="I7" sqref="I7"/>
    </sheetView>
  </sheetViews>
  <sheetFormatPr defaultRowHeight="15"/>
  <cols>
    <col min="2" max="2" width="22.85546875" bestFit="1" customWidth="1"/>
    <col min="3" max="4" width="12" bestFit="1" customWidth="1"/>
    <col min="5" max="5" width="12" customWidth="1"/>
    <col min="6" max="6" width="13.42578125" customWidth="1"/>
  </cols>
  <sheetData>
    <row r="1" spans="1:6" ht="15.75" thickBot="1">
      <c r="A1" s="530" t="s">
        <v>213</v>
      </c>
      <c r="B1" s="531"/>
      <c r="C1" s="531"/>
      <c r="D1" s="531"/>
      <c r="E1" s="531"/>
      <c r="F1" s="532"/>
    </row>
    <row r="2" spans="1:6" ht="57.75" thickBot="1">
      <c r="A2" s="25" t="s">
        <v>110</v>
      </c>
      <c r="B2" s="79" t="s">
        <v>111</v>
      </c>
      <c r="C2" s="80" t="s">
        <v>112</v>
      </c>
      <c r="D2" s="80" t="s">
        <v>120</v>
      </c>
      <c r="E2" s="80" t="s">
        <v>121</v>
      </c>
      <c r="F2" s="26" t="s">
        <v>113</v>
      </c>
    </row>
    <row r="3" spans="1:6">
      <c r="A3" s="71">
        <v>43879</v>
      </c>
      <c r="B3" s="72" t="s">
        <v>390</v>
      </c>
      <c r="C3" s="73">
        <v>328910.75</v>
      </c>
      <c r="D3" s="73">
        <f>C3</f>
        <v>328910.75</v>
      </c>
      <c r="E3" s="73">
        <v>329088.71000000002</v>
      </c>
      <c r="F3" s="74">
        <f>IF(ISBLANK($E3),"----",$E3-$D3)</f>
        <v>177.96000000002095</v>
      </c>
    </row>
    <row r="4" spans="1:6">
      <c r="A4" s="91">
        <v>44243</v>
      </c>
      <c r="B4" s="106" t="s">
        <v>391</v>
      </c>
      <c r="C4" s="85">
        <v>1124957.78</v>
      </c>
      <c r="D4" s="85">
        <f>C4</f>
        <v>1124957.78</v>
      </c>
      <c r="E4" s="85">
        <v>1136870.06</v>
      </c>
      <c r="F4" s="86">
        <f>IF(ISBLANK($E4),"----",$E4-$D4)</f>
        <v>11912.280000000028</v>
      </c>
    </row>
    <row r="5" spans="1:6">
      <c r="A5" s="107">
        <v>44243</v>
      </c>
      <c r="B5" s="108" t="s">
        <v>392</v>
      </c>
      <c r="C5" s="90">
        <v>415071.74</v>
      </c>
      <c r="D5" s="90">
        <f>C5</f>
        <v>415071.74</v>
      </c>
      <c r="E5" s="90">
        <v>415288.15</v>
      </c>
      <c r="F5" s="86">
        <f t="shared" ref="F5:F18" si="0">IF(ISBLANK($E5),"----",$E5-$D5)</f>
        <v>216.4100000000326</v>
      </c>
    </row>
    <row r="6" spans="1:6">
      <c r="A6" s="107">
        <v>44880</v>
      </c>
      <c r="B6" s="108" t="s">
        <v>589</v>
      </c>
      <c r="C6" s="90">
        <v>809573.8</v>
      </c>
      <c r="D6" s="90">
        <f>C6</f>
        <v>809573.8</v>
      </c>
      <c r="E6" s="90"/>
      <c r="F6" s="86" t="str">
        <f t="shared" si="0"/>
        <v>----</v>
      </c>
    </row>
    <row r="7" spans="1:6">
      <c r="A7" s="107">
        <v>45279</v>
      </c>
      <c r="B7" s="108" t="s">
        <v>704</v>
      </c>
      <c r="C7" s="415">
        <v>1051193.58</v>
      </c>
      <c r="D7" s="415">
        <f>C7</f>
        <v>1051193.58</v>
      </c>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23"/>
      <c r="B18" s="124"/>
      <c r="C18" s="125"/>
      <c r="D18" s="125"/>
      <c r="E18" s="125"/>
      <c r="F18" s="86" t="str">
        <f t="shared" si="0"/>
        <v>----</v>
      </c>
    </row>
    <row r="19" spans="1:6" ht="15.75" thickBot="1">
      <c r="A19" s="75"/>
      <c r="B19" s="76"/>
      <c r="C19" s="77"/>
      <c r="D19" s="77"/>
      <c r="E19" s="77"/>
      <c r="F19" s="78" t="str">
        <f>IF(ISBLANK($E19),"----",$E19-$D19)</f>
        <v>----</v>
      </c>
    </row>
    <row r="20" spans="1:6" ht="15.75" thickBot="1">
      <c r="A20" s="28"/>
      <c r="B20" s="28"/>
      <c r="C20" s="29"/>
      <c r="D20" s="29"/>
      <c r="E20" s="29"/>
      <c r="F20" s="70">
        <f>SUM(F3:F19)</f>
        <v>12306.650000000081</v>
      </c>
    </row>
  </sheetData>
  <mergeCells count="1">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F23"/>
  <sheetViews>
    <sheetView workbookViewId="0">
      <selection activeCell="E3" sqref="E3"/>
    </sheetView>
  </sheetViews>
  <sheetFormatPr defaultRowHeight="15"/>
  <cols>
    <col min="2" max="2" width="22.85546875" bestFit="1" customWidth="1"/>
    <col min="3" max="3" width="13.28515625" customWidth="1"/>
    <col min="4" max="4" width="14.140625" customWidth="1"/>
    <col min="5" max="5" width="13.7109375" customWidth="1"/>
    <col min="6" max="6" width="13.85546875" customWidth="1"/>
  </cols>
  <sheetData>
    <row r="1" spans="1:6" ht="15.75" thickBot="1">
      <c r="A1" s="530" t="s">
        <v>174</v>
      </c>
      <c r="B1" s="531"/>
      <c r="C1" s="531"/>
      <c r="D1" s="531"/>
      <c r="E1" s="531"/>
      <c r="F1" s="532"/>
    </row>
    <row r="2" spans="1:6" ht="46.5" thickBot="1">
      <c r="A2" s="25" t="s">
        <v>110</v>
      </c>
      <c r="B2" s="79" t="s">
        <v>111</v>
      </c>
      <c r="C2" s="80" t="s">
        <v>112</v>
      </c>
      <c r="D2" s="80" t="s">
        <v>120</v>
      </c>
      <c r="E2" s="80" t="s">
        <v>121</v>
      </c>
      <c r="F2" s="26" t="s">
        <v>113</v>
      </c>
    </row>
    <row r="3" spans="1:6">
      <c r="A3" s="71">
        <v>43852</v>
      </c>
      <c r="B3" s="72" t="s">
        <v>212</v>
      </c>
      <c r="C3" s="73">
        <v>517957.05</v>
      </c>
      <c r="D3" s="73">
        <f>C3</f>
        <v>517957.05</v>
      </c>
      <c r="E3" s="73">
        <v>519777.9</v>
      </c>
      <c r="F3" s="74">
        <f>IF(ISBLANK($E3),"----",$E3-$D3)</f>
        <v>1820.8500000000349</v>
      </c>
    </row>
    <row r="4" spans="1:6">
      <c r="A4" s="91">
        <v>44306</v>
      </c>
      <c r="B4" s="106" t="s">
        <v>422</v>
      </c>
      <c r="C4" s="85">
        <v>1117034.3999999999</v>
      </c>
      <c r="D4" s="85">
        <f>C4</f>
        <v>1117034.3999999999</v>
      </c>
      <c r="E4" s="85"/>
      <c r="F4" s="86" t="str">
        <f t="shared" ref="F4:F20" si="0">IF(ISBLANK($E4),"----",$E4-$D4)</f>
        <v>----</v>
      </c>
    </row>
    <row r="5" spans="1:6">
      <c r="A5" s="107"/>
      <c r="B5" s="108"/>
      <c r="C5" s="90"/>
      <c r="D5" s="90"/>
      <c r="E5" s="90"/>
      <c r="F5" s="122" t="str">
        <f t="shared" si="0"/>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23"/>
      <c r="B21" s="124"/>
      <c r="C21" s="125"/>
      <c r="D21" s="125"/>
      <c r="E21" s="125"/>
      <c r="F21" s="126" t="str">
        <f>IF(ISBLANK($E21),"----",$E21-$D21)</f>
        <v>----</v>
      </c>
    </row>
    <row r="22" spans="1:6" ht="15.75" thickBot="1">
      <c r="A22" s="75"/>
      <c r="B22" s="76"/>
      <c r="C22" s="77"/>
      <c r="D22" s="77"/>
      <c r="E22" s="77"/>
      <c r="F22" s="78" t="str">
        <f>IF(ISBLANK($E22),"----",$E22-$D22)</f>
        <v>----</v>
      </c>
    </row>
    <row r="23" spans="1:6" ht="15.75" thickBot="1">
      <c r="A23" s="28"/>
      <c r="B23" s="28"/>
      <c r="C23" s="29"/>
      <c r="D23" s="29"/>
      <c r="E23" s="29"/>
      <c r="F23" s="70">
        <f>SUM(F3:F22)</f>
        <v>1820.8500000000349</v>
      </c>
    </row>
  </sheetData>
  <mergeCells count="1">
    <mergeCell ref="A1:F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G22"/>
  <sheetViews>
    <sheetView workbookViewId="0">
      <selection activeCell="E11" sqref="E3:E11"/>
    </sheetView>
  </sheetViews>
  <sheetFormatPr defaultRowHeight="15"/>
  <cols>
    <col min="2" max="2" width="22.85546875" bestFit="1" customWidth="1"/>
    <col min="3" max="3" width="12" bestFit="1" customWidth="1"/>
    <col min="4" max="4" width="12.140625" customWidth="1"/>
    <col min="5" max="5" width="13.28515625" customWidth="1"/>
    <col min="6" max="6" width="13" customWidth="1"/>
  </cols>
  <sheetData>
    <row r="1" spans="1:7" ht="15.75" thickBot="1">
      <c r="A1" s="530" t="s">
        <v>150</v>
      </c>
      <c r="B1" s="531"/>
      <c r="C1" s="531"/>
      <c r="D1" s="531"/>
      <c r="E1" s="531"/>
      <c r="F1" s="532"/>
    </row>
    <row r="2" spans="1:7" ht="57.75" thickBot="1">
      <c r="A2" s="25" t="s">
        <v>110</v>
      </c>
      <c r="B2" s="79" t="s">
        <v>111</v>
      </c>
      <c r="C2" s="80" t="s">
        <v>112</v>
      </c>
      <c r="D2" s="80" t="s">
        <v>120</v>
      </c>
      <c r="E2" s="80" t="s">
        <v>121</v>
      </c>
      <c r="F2" s="26" t="s">
        <v>113</v>
      </c>
    </row>
    <row r="3" spans="1:7">
      <c r="A3" s="71">
        <v>43816</v>
      </c>
      <c r="B3" s="72" t="s">
        <v>171</v>
      </c>
      <c r="C3" s="73">
        <v>420135.7</v>
      </c>
      <c r="D3" s="73">
        <f>C3</f>
        <v>420135.7</v>
      </c>
      <c r="E3" s="73">
        <v>421970.31</v>
      </c>
      <c r="F3" s="74">
        <f>IF(ISBLANK($E3),"----",$E3-$D3)</f>
        <v>1834.609999999986</v>
      </c>
    </row>
    <row r="4" spans="1:7">
      <c r="A4" s="91">
        <v>44216</v>
      </c>
      <c r="B4" s="106" t="s">
        <v>371</v>
      </c>
      <c r="C4" s="85">
        <v>726545.05</v>
      </c>
      <c r="D4" s="85">
        <v>300509.05</v>
      </c>
      <c r="E4" s="85">
        <v>293172.01</v>
      </c>
      <c r="F4" s="126">
        <f t="shared" ref="F4:F19" si="0">IF(ISBLANK($E4),"----",$E4-$D4)</f>
        <v>-7337.039999999979</v>
      </c>
    </row>
    <row r="5" spans="1:7">
      <c r="A5" s="218">
        <v>44271</v>
      </c>
      <c r="B5" s="219" t="s">
        <v>406</v>
      </c>
      <c r="C5" s="220">
        <v>1049203.5</v>
      </c>
      <c r="D5" s="220">
        <v>918115.5</v>
      </c>
      <c r="E5" s="220"/>
      <c r="F5" s="207" t="str">
        <f t="shared" si="0"/>
        <v>----</v>
      </c>
      <c r="G5" t="s">
        <v>418</v>
      </c>
    </row>
    <row r="6" spans="1:7">
      <c r="A6" s="230">
        <v>44397</v>
      </c>
      <c r="B6" s="231" t="s">
        <v>437</v>
      </c>
      <c r="C6" s="232">
        <f>164988.83/2</f>
        <v>82494.414999999994</v>
      </c>
      <c r="D6" s="232">
        <f>C6</f>
        <v>82494.414999999994</v>
      </c>
      <c r="E6" s="232">
        <v>75833.789999999994</v>
      </c>
      <c r="F6" s="233">
        <f t="shared" si="0"/>
        <v>-6660.625</v>
      </c>
      <c r="G6" t="s">
        <v>438</v>
      </c>
    </row>
    <row r="7" spans="1:7">
      <c r="A7" s="107">
        <v>44397</v>
      </c>
      <c r="B7" s="108" t="s">
        <v>406</v>
      </c>
      <c r="C7" s="90">
        <v>594321.75</v>
      </c>
      <c r="D7" s="90">
        <v>463233.75</v>
      </c>
      <c r="E7" s="90"/>
      <c r="F7" s="126" t="str">
        <f t="shared" si="0"/>
        <v>----</v>
      </c>
      <c r="G7" t="s">
        <v>440</v>
      </c>
    </row>
    <row r="8" spans="1:7">
      <c r="A8" s="107">
        <v>44551</v>
      </c>
      <c r="B8" s="279" t="s">
        <v>479</v>
      </c>
      <c r="C8" s="90">
        <v>618842.94999999995</v>
      </c>
      <c r="D8" s="90">
        <f>C8</f>
        <v>618842.94999999995</v>
      </c>
      <c r="E8" s="90">
        <v>625786.5</v>
      </c>
      <c r="F8" s="126">
        <f t="shared" si="0"/>
        <v>6943.5500000000466</v>
      </c>
    </row>
    <row r="9" spans="1:7">
      <c r="A9" s="107">
        <v>44551</v>
      </c>
      <c r="B9" s="279" t="s">
        <v>480</v>
      </c>
      <c r="C9" s="90">
        <v>453760.95</v>
      </c>
      <c r="D9" s="90">
        <f>C9</f>
        <v>453760.95</v>
      </c>
      <c r="E9" s="90">
        <v>451941.38</v>
      </c>
      <c r="F9" s="126">
        <f t="shared" si="0"/>
        <v>-1819.570000000007</v>
      </c>
    </row>
    <row r="10" spans="1:7">
      <c r="A10" s="107">
        <v>45279</v>
      </c>
      <c r="B10" s="108" t="s">
        <v>705</v>
      </c>
      <c r="C10" s="415">
        <v>1217493.2</v>
      </c>
      <c r="D10" s="90">
        <f>C10</f>
        <v>1217493.2</v>
      </c>
      <c r="E10" s="90"/>
      <c r="F10" s="126" t="str">
        <f t="shared" si="0"/>
        <v>----</v>
      </c>
    </row>
    <row r="11" spans="1:7">
      <c r="A11" s="107">
        <v>45279</v>
      </c>
      <c r="B11" s="108" t="s">
        <v>706</v>
      </c>
      <c r="C11" s="415">
        <v>614061.65</v>
      </c>
      <c r="D11" s="90">
        <f>C11</f>
        <v>614061.65</v>
      </c>
      <c r="E11" s="90"/>
      <c r="F11" s="126" t="str">
        <f t="shared" si="0"/>
        <v>----</v>
      </c>
    </row>
    <row r="12" spans="1:7">
      <c r="A12" s="107"/>
      <c r="B12" s="108"/>
      <c r="C12" s="90"/>
      <c r="D12" s="90"/>
      <c r="E12" s="90"/>
      <c r="F12" s="126" t="str">
        <f t="shared" si="0"/>
        <v>----</v>
      </c>
    </row>
    <row r="13" spans="1:7">
      <c r="A13" s="107"/>
      <c r="B13" s="108"/>
      <c r="C13" s="90"/>
      <c r="D13" s="90"/>
      <c r="E13" s="90"/>
      <c r="F13" s="126" t="str">
        <f t="shared" si="0"/>
        <v>----</v>
      </c>
    </row>
    <row r="14" spans="1:7">
      <c r="A14" s="107"/>
      <c r="B14" s="108"/>
      <c r="C14" s="90"/>
      <c r="D14" s="90"/>
      <c r="E14" s="90"/>
      <c r="F14" s="126" t="str">
        <f t="shared" si="0"/>
        <v>----</v>
      </c>
    </row>
    <row r="15" spans="1:7">
      <c r="A15" s="107"/>
      <c r="B15" s="108"/>
      <c r="C15" s="90"/>
      <c r="D15" s="90"/>
      <c r="E15" s="90"/>
      <c r="F15" s="126" t="str">
        <f t="shared" si="0"/>
        <v>----</v>
      </c>
    </row>
    <row r="16" spans="1:7">
      <c r="A16" s="107"/>
      <c r="B16" s="108"/>
      <c r="C16" s="90"/>
      <c r="D16" s="90"/>
      <c r="E16" s="90"/>
      <c r="F16" s="126" t="str">
        <f t="shared" si="0"/>
        <v>----</v>
      </c>
    </row>
    <row r="17" spans="1:6">
      <c r="A17" s="107"/>
      <c r="B17" s="108"/>
      <c r="C17" s="90"/>
      <c r="D17" s="90"/>
      <c r="E17" s="90"/>
      <c r="F17" s="126" t="str">
        <f t="shared" si="0"/>
        <v>----</v>
      </c>
    </row>
    <row r="18" spans="1:6">
      <c r="A18" s="107"/>
      <c r="B18" s="108"/>
      <c r="C18" s="90"/>
      <c r="D18" s="90"/>
      <c r="E18" s="90"/>
      <c r="F18" s="126" t="str">
        <f t="shared" si="0"/>
        <v>----</v>
      </c>
    </row>
    <row r="19" spans="1:6">
      <c r="A19" s="107"/>
      <c r="B19" s="108"/>
      <c r="C19" s="90"/>
      <c r="D19" s="90"/>
      <c r="E19" s="90"/>
      <c r="F19" s="126" t="str">
        <f t="shared" si="0"/>
        <v>----</v>
      </c>
    </row>
    <row r="20" spans="1:6">
      <c r="A20" s="123"/>
      <c r="B20" s="124"/>
      <c r="C20" s="125"/>
      <c r="D20" s="125"/>
      <c r="E20" s="125"/>
      <c r="F20" s="126" t="str">
        <f>IF(ISBLANK($E20),"----",$E20-$D20)</f>
        <v>----</v>
      </c>
    </row>
    <row r="21" spans="1:6" ht="15.75" thickBot="1">
      <c r="A21" s="75"/>
      <c r="B21" s="76"/>
      <c r="C21" s="77"/>
      <c r="D21" s="77"/>
      <c r="E21" s="77"/>
      <c r="F21" s="78" t="str">
        <f>IF(ISBLANK($E21),"----",$E21-$D21)</f>
        <v>----</v>
      </c>
    </row>
    <row r="22" spans="1:6" ht="15.75" thickBot="1">
      <c r="A22" s="28"/>
      <c r="B22" s="28"/>
      <c r="C22" s="29"/>
      <c r="D22" s="29"/>
      <c r="E22" s="29"/>
      <c r="F22" s="70">
        <f>SUM(F3:F21)</f>
        <v>-7039.0749999999534</v>
      </c>
    </row>
  </sheetData>
  <mergeCells count="1">
    <mergeCell ref="A1:F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F7"/>
  <sheetViews>
    <sheetView workbookViewId="0">
      <selection activeCell="C3" sqref="C3"/>
    </sheetView>
  </sheetViews>
  <sheetFormatPr defaultRowHeight="15"/>
  <cols>
    <col min="2" max="2" width="18" bestFit="1" customWidth="1"/>
    <col min="3" max="3" width="10.7109375" bestFit="1" customWidth="1"/>
    <col min="4" max="4" width="12.140625" customWidth="1"/>
    <col min="6" max="6" width="11.5703125" customWidth="1"/>
  </cols>
  <sheetData>
    <row r="1" spans="1:6" ht="15.75" thickBot="1">
      <c r="A1" s="530" t="s">
        <v>135</v>
      </c>
      <c r="B1" s="531"/>
      <c r="C1" s="531"/>
      <c r="D1" s="531"/>
      <c r="E1" s="531"/>
      <c r="F1" s="532"/>
    </row>
    <row r="2" spans="1:6" ht="57.75" thickBot="1">
      <c r="A2" s="25" t="s">
        <v>110</v>
      </c>
      <c r="B2" s="79" t="s">
        <v>111</v>
      </c>
      <c r="C2" s="80" t="s">
        <v>112</v>
      </c>
      <c r="D2" s="80" t="s">
        <v>120</v>
      </c>
      <c r="E2" s="80" t="s">
        <v>121</v>
      </c>
      <c r="F2" s="26" t="s">
        <v>113</v>
      </c>
    </row>
    <row r="3" spans="1:6">
      <c r="A3" s="71">
        <v>43788</v>
      </c>
      <c r="B3" s="72" t="s">
        <v>149</v>
      </c>
      <c r="C3" s="73">
        <v>152983.35</v>
      </c>
      <c r="D3" s="73">
        <v>122386.68</v>
      </c>
      <c r="E3" s="73"/>
      <c r="F3" s="74" t="str">
        <f>IF(ISBLANK($E3),"----",$E3-$D3)</f>
        <v>----</v>
      </c>
    </row>
    <row r="4" spans="1:6">
      <c r="A4" s="94"/>
      <c r="B4" s="95"/>
      <c r="C4" s="87"/>
      <c r="D4" s="87"/>
      <c r="E4" s="87"/>
      <c r="F4" s="88" t="str">
        <f>IF(ISBLANK($E4),"----",$E4-$D4)</f>
        <v>----</v>
      </c>
    </row>
    <row r="5" spans="1:6" ht="15.75" thickBot="1">
      <c r="A5" s="75"/>
      <c r="B5" s="76"/>
      <c r="C5" s="77"/>
      <c r="D5" s="77"/>
      <c r="E5" s="77"/>
      <c r="F5" s="78" t="str">
        <f>IF(ISBLANK($E5),"----",$E5-$D5)</f>
        <v>----</v>
      </c>
    </row>
    <row r="6" spans="1:6" ht="15.75" thickBot="1">
      <c r="A6" s="28"/>
      <c r="B6" s="28"/>
      <c r="C6" s="29"/>
      <c r="D6" s="29"/>
      <c r="E6" s="29"/>
      <c r="F6" s="70">
        <f>SUM(F3:F5)</f>
        <v>0</v>
      </c>
    </row>
    <row r="7" spans="1:6">
      <c r="A7" s="17"/>
      <c r="B7" s="17"/>
      <c r="C7" s="20"/>
      <c r="D7" s="20"/>
      <c r="E7" s="20"/>
      <c r="F7" s="20"/>
    </row>
  </sheetData>
  <mergeCells count="1">
    <mergeCell ref="A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F19"/>
  <sheetViews>
    <sheetView workbookViewId="0">
      <selection activeCell="C4" sqref="C4"/>
    </sheetView>
  </sheetViews>
  <sheetFormatPr defaultRowHeight="15"/>
  <cols>
    <col min="2" max="2" width="21.7109375" bestFit="1" customWidth="1"/>
    <col min="3" max="3" width="12" bestFit="1" customWidth="1"/>
    <col min="4" max="4" width="10.7109375" bestFit="1" customWidth="1"/>
  </cols>
  <sheetData>
    <row r="1" spans="1:6" ht="15.75" thickBot="1">
      <c r="A1" s="530" t="s">
        <v>249</v>
      </c>
      <c r="B1" s="531"/>
      <c r="C1" s="531"/>
      <c r="D1" s="531"/>
      <c r="E1" s="531"/>
      <c r="F1" s="532"/>
    </row>
    <row r="2" spans="1:6" ht="69" thickBot="1">
      <c r="A2" s="25" t="s">
        <v>110</v>
      </c>
      <c r="B2" s="79" t="s">
        <v>111</v>
      </c>
      <c r="C2" s="80" t="s">
        <v>112</v>
      </c>
      <c r="D2" s="80" t="s">
        <v>120</v>
      </c>
      <c r="E2" s="80" t="s">
        <v>121</v>
      </c>
      <c r="F2" s="26" t="s">
        <v>113</v>
      </c>
    </row>
    <row r="3" spans="1:6">
      <c r="A3" s="71">
        <v>44789</v>
      </c>
      <c r="B3" s="72" t="s">
        <v>556</v>
      </c>
      <c r="C3" s="73">
        <v>3233933.45</v>
      </c>
      <c r="D3" s="73">
        <v>799933.45</v>
      </c>
      <c r="E3" s="73"/>
      <c r="F3" s="74" t="str">
        <f>IF(ISBLANK($E3),"----",$E3-$D3)</f>
        <v>----</v>
      </c>
    </row>
    <row r="4" spans="1:6">
      <c r="A4" s="91">
        <v>44880</v>
      </c>
      <c r="B4" s="106" t="s">
        <v>590</v>
      </c>
      <c r="C4" s="85">
        <v>919508.1</v>
      </c>
      <c r="D4" s="85">
        <f>C4</f>
        <v>919508.1</v>
      </c>
      <c r="E4" s="85"/>
      <c r="F4" s="86" t="str">
        <f t="shared" ref="F4:F16" si="0">IF(ISBLANK($E4),"----",$E4-$D4)</f>
        <v>----</v>
      </c>
    </row>
    <row r="5" spans="1:6">
      <c r="A5" s="107"/>
      <c r="B5" s="108"/>
      <c r="C5" s="90"/>
      <c r="D5" s="90"/>
      <c r="E5" s="90"/>
      <c r="F5" s="122" t="str">
        <f t="shared" si="0"/>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23"/>
      <c r="B17" s="124"/>
      <c r="C17" s="125"/>
      <c r="D17" s="125"/>
      <c r="E17" s="125"/>
      <c r="F17" s="126" t="str">
        <f>IF(ISBLANK($E17),"----",$E17-$D17)</f>
        <v>----</v>
      </c>
    </row>
    <row r="18" spans="1:6" ht="15.75" thickBot="1">
      <c r="A18" s="75"/>
      <c r="B18" s="76"/>
      <c r="C18" s="77"/>
      <c r="D18" s="77"/>
      <c r="E18" s="77"/>
      <c r="F18" s="78" t="str">
        <f>IF(ISBLANK($E18),"----",$E18-$D18)</f>
        <v>----</v>
      </c>
    </row>
    <row r="19" spans="1:6" ht="15.75" thickBot="1">
      <c r="A19" s="28"/>
      <c r="B19" s="28"/>
      <c r="C19" s="29"/>
      <c r="D19" s="29"/>
      <c r="E19" s="29"/>
      <c r="F19" s="70">
        <f>SUM(F3:F18)</f>
        <v>0</v>
      </c>
    </row>
  </sheetData>
  <mergeCells count="1">
    <mergeCell ref="A1:F1"/>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H17"/>
  <sheetViews>
    <sheetView workbookViewId="0">
      <selection activeCell="M46" sqref="M46"/>
    </sheetView>
  </sheetViews>
  <sheetFormatPr defaultRowHeight="15"/>
  <cols>
    <col min="2" max="2" width="23.7109375" bestFit="1" customWidth="1"/>
    <col min="3" max="3" width="12" bestFit="1" customWidth="1"/>
    <col min="4" max="4" width="11.5703125" bestFit="1" customWidth="1"/>
    <col min="5" max="5" width="10.140625" bestFit="1" customWidth="1"/>
    <col min="8" max="8" width="13.5703125" bestFit="1" customWidth="1"/>
  </cols>
  <sheetData>
    <row r="1" spans="1:8" ht="15.75" thickBot="1">
      <c r="A1" s="530" t="s">
        <v>250</v>
      </c>
      <c r="B1" s="531"/>
      <c r="C1" s="531"/>
      <c r="D1" s="531"/>
      <c r="E1" s="531"/>
      <c r="F1" s="532"/>
    </row>
    <row r="2" spans="1:8" ht="69" thickBot="1">
      <c r="A2" s="25" t="s">
        <v>110</v>
      </c>
      <c r="B2" s="79" t="s">
        <v>111</v>
      </c>
      <c r="C2" s="80" t="s">
        <v>112</v>
      </c>
      <c r="D2" s="80" t="s">
        <v>120</v>
      </c>
      <c r="E2" s="80" t="s">
        <v>121</v>
      </c>
      <c r="F2" s="26" t="s">
        <v>113</v>
      </c>
    </row>
    <row r="3" spans="1:8">
      <c r="A3" s="71">
        <v>44362</v>
      </c>
      <c r="B3" s="72" t="s">
        <v>433</v>
      </c>
      <c r="C3" s="73">
        <v>240757.75</v>
      </c>
      <c r="D3" s="73">
        <f>C3</f>
        <v>240757.75</v>
      </c>
      <c r="E3" s="73">
        <v>241885.75</v>
      </c>
      <c r="F3" s="74">
        <f t="shared" ref="F3:F16" si="0">IF(ISBLANK($E3),"----",$E3-$D3)</f>
        <v>1128</v>
      </c>
    </row>
    <row r="4" spans="1:8">
      <c r="A4" s="91">
        <v>44944</v>
      </c>
      <c r="B4" s="106" t="s">
        <v>641</v>
      </c>
      <c r="C4" s="85">
        <v>970630.8</v>
      </c>
      <c r="D4" s="85">
        <f>C4</f>
        <v>970630.8</v>
      </c>
      <c r="E4" s="85"/>
      <c r="F4" s="86" t="str">
        <f t="shared" si="0"/>
        <v>----</v>
      </c>
    </row>
    <row r="5" spans="1:8">
      <c r="A5" s="94">
        <v>44944</v>
      </c>
      <c r="B5" s="95" t="s">
        <v>642</v>
      </c>
      <c r="C5" s="87">
        <v>475421.25</v>
      </c>
      <c r="D5" s="87">
        <f>C5</f>
        <v>475421.25</v>
      </c>
      <c r="E5" s="87"/>
      <c r="F5" s="88" t="str">
        <f t="shared" si="0"/>
        <v>----</v>
      </c>
    </row>
    <row r="6" spans="1:8">
      <c r="A6" s="91">
        <v>45006</v>
      </c>
      <c r="B6" s="106" t="s">
        <v>661</v>
      </c>
      <c r="C6" s="413">
        <v>2350566.17</v>
      </c>
      <c r="D6" s="413">
        <f>C6*0.2</f>
        <v>470113.234</v>
      </c>
      <c r="E6" s="85"/>
      <c r="F6" s="86" t="str">
        <f t="shared" si="0"/>
        <v>----</v>
      </c>
      <c r="G6" t="s">
        <v>662</v>
      </c>
      <c r="H6" s="412">
        <f>0.8*C6</f>
        <v>1880452.936</v>
      </c>
    </row>
    <row r="7" spans="1:8">
      <c r="A7" s="94"/>
      <c r="B7" s="95"/>
      <c r="C7" s="87"/>
      <c r="D7" s="87"/>
      <c r="E7" s="87"/>
      <c r="F7" s="88" t="str">
        <f t="shared" si="0"/>
        <v>----</v>
      </c>
    </row>
    <row r="8" spans="1:8">
      <c r="A8" s="91"/>
      <c r="B8" s="106"/>
      <c r="C8" s="85"/>
      <c r="D8" s="85"/>
      <c r="E8" s="85"/>
      <c r="F8" s="86" t="str">
        <f t="shared" si="0"/>
        <v>----</v>
      </c>
    </row>
    <row r="9" spans="1:8">
      <c r="A9" s="94"/>
      <c r="B9" s="95"/>
      <c r="C9" s="87"/>
      <c r="D9" s="87"/>
      <c r="E9" s="87"/>
      <c r="F9" s="88" t="str">
        <f t="shared" si="0"/>
        <v>----</v>
      </c>
    </row>
    <row r="10" spans="1:8">
      <c r="A10" s="91"/>
      <c r="B10" s="106"/>
      <c r="C10" s="85"/>
      <c r="D10" s="85"/>
      <c r="E10" s="85"/>
      <c r="F10" s="86" t="str">
        <f t="shared" si="0"/>
        <v>----</v>
      </c>
    </row>
    <row r="11" spans="1:8">
      <c r="A11" s="94"/>
      <c r="B11" s="95"/>
      <c r="C11" s="87"/>
      <c r="D11" s="87"/>
      <c r="E11" s="87"/>
      <c r="F11" s="88" t="str">
        <f t="shared" si="0"/>
        <v>----</v>
      </c>
    </row>
    <row r="12" spans="1:8">
      <c r="A12" s="91"/>
      <c r="B12" s="106"/>
      <c r="C12" s="85"/>
      <c r="D12" s="85"/>
      <c r="E12" s="85"/>
      <c r="F12" s="86" t="str">
        <f t="shared" si="0"/>
        <v>----</v>
      </c>
    </row>
    <row r="13" spans="1:8">
      <c r="A13" s="94"/>
      <c r="B13" s="95"/>
      <c r="C13" s="87"/>
      <c r="D13" s="87"/>
      <c r="E13" s="87"/>
      <c r="F13" s="88" t="str">
        <f t="shared" si="0"/>
        <v>----</v>
      </c>
    </row>
    <row r="14" spans="1:8">
      <c r="A14" s="91"/>
      <c r="B14" s="106"/>
      <c r="C14" s="85"/>
      <c r="D14" s="85"/>
      <c r="E14" s="85"/>
      <c r="F14" s="86" t="str">
        <f t="shared" si="0"/>
        <v>----</v>
      </c>
    </row>
    <row r="15" spans="1:8">
      <c r="A15" s="94"/>
      <c r="B15" s="95"/>
      <c r="C15" s="87"/>
      <c r="D15" s="87"/>
      <c r="E15" s="87"/>
      <c r="F15" s="88" t="str">
        <f t="shared" si="0"/>
        <v>----</v>
      </c>
    </row>
    <row r="16" spans="1:8" ht="15.75" thickBot="1">
      <c r="A16" s="75"/>
      <c r="B16" s="76"/>
      <c r="C16" s="77"/>
      <c r="D16" s="77"/>
      <c r="E16" s="77"/>
      <c r="F16" s="78" t="str">
        <f t="shared" si="0"/>
        <v>----</v>
      </c>
    </row>
    <row r="17" spans="1:6" ht="15.75" thickBot="1">
      <c r="A17" s="28"/>
      <c r="B17" s="28"/>
      <c r="C17" s="29"/>
      <c r="D17" s="29"/>
      <c r="E17" s="29"/>
      <c r="F17" s="70">
        <f>SUM(F3:F16)</f>
        <v>1128</v>
      </c>
    </row>
  </sheetData>
  <mergeCells count="1">
    <mergeCell ref="A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G17"/>
  <sheetViews>
    <sheetView workbookViewId="0">
      <selection activeCell="D7" sqref="D7"/>
    </sheetView>
  </sheetViews>
  <sheetFormatPr defaultRowHeight="15"/>
  <cols>
    <col min="2" max="2" width="23.7109375" bestFit="1" customWidth="1"/>
    <col min="3" max="3" width="10.7109375" bestFit="1" customWidth="1"/>
    <col min="4" max="4" width="11" customWidth="1"/>
    <col min="6" max="6" width="14.85546875" customWidth="1"/>
  </cols>
  <sheetData>
    <row r="1" spans="1:7" ht="15.75" thickBot="1">
      <c r="A1" s="530" t="s">
        <v>151</v>
      </c>
      <c r="B1" s="531"/>
      <c r="C1" s="531"/>
      <c r="D1" s="531"/>
      <c r="E1" s="531"/>
      <c r="F1" s="532"/>
    </row>
    <row r="2" spans="1:7" ht="57.75" thickBot="1">
      <c r="A2" s="25" t="s">
        <v>110</v>
      </c>
      <c r="B2" s="79" t="s">
        <v>111</v>
      </c>
      <c r="C2" s="80" t="s">
        <v>112</v>
      </c>
      <c r="D2" s="80" t="s">
        <v>120</v>
      </c>
      <c r="E2" s="80" t="s">
        <v>121</v>
      </c>
      <c r="F2" s="26" t="s">
        <v>113</v>
      </c>
    </row>
    <row r="3" spans="1:7">
      <c r="A3" s="71">
        <v>43816</v>
      </c>
      <c r="B3" s="72" t="s">
        <v>170</v>
      </c>
      <c r="C3" s="73">
        <v>365363.15</v>
      </c>
      <c r="D3" s="73">
        <f>C3</f>
        <v>365363.15</v>
      </c>
      <c r="E3" s="73"/>
      <c r="F3" s="74" t="str">
        <f>IF(ISBLANK($E3),"----",$E3-$D3)</f>
        <v>----</v>
      </c>
    </row>
    <row r="4" spans="1:7">
      <c r="A4" s="91">
        <v>44180</v>
      </c>
      <c r="B4" s="106" t="s">
        <v>360</v>
      </c>
      <c r="C4" s="125">
        <v>176897</v>
      </c>
      <c r="D4" s="85">
        <f>C4</f>
        <v>176897</v>
      </c>
      <c r="E4" s="85"/>
      <c r="F4" s="126" t="str">
        <f t="shared" ref="F4:F14" si="0">IF(ISBLANK($E4),"----",$E4-$D4)</f>
        <v>----</v>
      </c>
    </row>
    <row r="5" spans="1:7">
      <c r="A5" s="107">
        <v>44243</v>
      </c>
      <c r="B5" s="108" t="s">
        <v>393</v>
      </c>
      <c r="C5" s="90">
        <v>842906.7</v>
      </c>
      <c r="D5" s="90">
        <v>542496.69999999995</v>
      </c>
      <c r="E5" s="90"/>
      <c r="F5" s="126" t="str">
        <f t="shared" si="0"/>
        <v>----</v>
      </c>
    </row>
    <row r="6" spans="1:7">
      <c r="A6" s="107">
        <v>44271</v>
      </c>
      <c r="B6" s="108" t="s">
        <v>407</v>
      </c>
      <c r="C6" s="90">
        <v>125028.75</v>
      </c>
      <c r="D6" s="90">
        <f>C6</f>
        <v>125028.75</v>
      </c>
      <c r="E6" s="90"/>
      <c r="F6" s="126" t="str">
        <f t="shared" si="0"/>
        <v>----</v>
      </c>
    </row>
    <row r="7" spans="1:7">
      <c r="A7" s="107">
        <v>45251</v>
      </c>
      <c r="B7" s="108" t="str">
        <f>Pocahontas!B4</f>
        <v>BROS-C076(70)--8J-76</v>
      </c>
      <c r="C7" s="90">
        <f>Pocahontas!C4</f>
        <v>408294.37</v>
      </c>
      <c r="D7" s="90">
        <f>Pocahontas!D4</f>
        <v>387529.37</v>
      </c>
      <c r="E7" s="90"/>
      <c r="F7" s="126" t="str">
        <f t="shared" si="0"/>
        <v>----</v>
      </c>
      <c r="G7" t="s">
        <v>701</v>
      </c>
    </row>
    <row r="8" spans="1:7">
      <c r="A8" s="107"/>
      <c r="B8" s="108"/>
      <c r="C8" s="90"/>
      <c r="D8" s="90"/>
      <c r="E8" s="90"/>
      <c r="F8" s="126" t="str">
        <f t="shared" si="0"/>
        <v>----</v>
      </c>
    </row>
    <row r="9" spans="1:7">
      <c r="A9" s="107"/>
      <c r="B9" s="108"/>
      <c r="C9" s="90"/>
      <c r="D9" s="90"/>
      <c r="E9" s="90"/>
      <c r="F9" s="126" t="str">
        <f t="shared" si="0"/>
        <v>----</v>
      </c>
    </row>
    <row r="10" spans="1:7">
      <c r="A10" s="107"/>
      <c r="B10" s="108"/>
      <c r="C10" s="90"/>
      <c r="D10" s="90"/>
      <c r="E10" s="90"/>
      <c r="F10" s="126" t="str">
        <f t="shared" si="0"/>
        <v>----</v>
      </c>
    </row>
    <row r="11" spans="1:7">
      <c r="A11" s="107"/>
      <c r="B11" s="108"/>
      <c r="C11" s="90"/>
      <c r="D11" s="90"/>
      <c r="E11" s="90"/>
      <c r="F11" s="126" t="str">
        <f t="shared" si="0"/>
        <v>----</v>
      </c>
    </row>
    <row r="12" spans="1:7">
      <c r="A12" s="107"/>
      <c r="B12" s="108"/>
      <c r="C12" s="90"/>
      <c r="D12" s="90"/>
      <c r="E12" s="90"/>
      <c r="F12" s="126" t="str">
        <f t="shared" si="0"/>
        <v>----</v>
      </c>
    </row>
    <row r="13" spans="1:7">
      <c r="A13" s="107"/>
      <c r="B13" s="108"/>
      <c r="C13" s="90"/>
      <c r="D13" s="90"/>
      <c r="E13" s="90"/>
      <c r="F13" s="126" t="str">
        <f t="shared" si="0"/>
        <v>----</v>
      </c>
    </row>
    <row r="14" spans="1:7">
      <c r="A14" s="107"/>
      <c r="B14" s="108"/>
      <c r="C14" s="90"/>
      <c r="D14" s="90"/>
      <c r="E14" s="90"/>
      <c r="F14" s="126" t="str">
        <f t="shared" si="0"/>
        <v>----</v>
      </c>
    </row>
    <row r="15" spans="1:7">
      <c r="A15" s="123"/>
      <c r="B15" s="124"/>
      <c r="C15" s="125"/>
      <c r="D15" s="125"/>
      <c r="E15" s="125"/>
      <c r="F15" s="126" t="str">
        <f>IF(ISBLANK($E15),"----",$E15-$D15)</f>
        <v>----</v>
      </c>
    </row>
    <row r="16" spans="1:7" ht="15.75" thickBot="1">
      <c r="A16" s="75"/>
      <c r="B16" s="76"/>
      <c r="C16" s="77"/>
      <c r="D16" s="77"/>
      <c r="E16" s="77"/>
      <c r="F16" s="78" t="str">
        <f>IF(ISBLANK($E16),"----",$E16-$D16)</f>
        <v>----</v>
      </c>
    </row>
    <row r="17" spans="1:6" ht="15.75" thickBot="1">
      <c r="A17" s="28"/>
      <c r="B17" s="28"/>
      <c r="C17" s="29"/>
      <c r="D17" s="29"/>
      <c r="E17" s="29"/>
      <c r="F17" s="70">
        <f>SUM(F3:F16)</f>
        <v>0</v>
      </c>
    </row>
  </sheetData>
  <mergeCells count="1">
    <mergeCell ref="A1:F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G22"/>
  <sheetViews>
    <sheetView workbookViewId="0">
      <selection activeCell="E6" sqref="E6"/>
    </sheetView>
  </sheetViews>
  <sheetFormatPr defaultRowHeight="15"/>
  <cols>
    <col min="2" max="2" width="23.7109375" bestFit="1" customWidth="1"/>
    <col min="3" max="3" width="10.7109375" bestFit="1" customWidth="1"/>
    <col min="4" max="4" width="11.5703125" customWidth="1"/>
    <col min="5" max="5" width="10" customWidth="1"/>
    <col min="6" max="6" width="11" customWidth="1"/>
  </cols>
  <sheetData>
    <row r="1" spans="1:6" ht="14.25" customHeight="1" thickBot="1">
      <c r="A1" s="530" t="s">
        <v>132</v>
      </c>
      <c r="B1" s="531"/>
      <c r="C1" s="531"/>
      <c r="D1" s="531"/>
      <c r="E1" s="531"/>
      <c r="F1" s="532"/>
    </row>
    <row r="2" spans="1:6" ht="57.75" thickBot="1">
      <c r="A2" s="25" t="s">
        <v>110</v>
      </c>
      <c r="B2" s="79" t="s">
        <v>111</v>
      </c>
      <c r="C2" s="80" t="s">
        <v>112</v>
      </c>
      <c r="D2" s="80" t="s">
        <v>120</v>
      </c>
      <c r="E2" s="80" t="s">
        <v>121</v>
      </c>
      <c r="F2" s="26" t="s">
        <v>113</v>
      </c>
    </row>
    <row r="3" spans="1:6">
      <c r="A3" s="71">
        <v>43753</v>
      </c>
      <c r="B3" s="280" t="s">
        <v>481</v>
      </c>
      <c r="C3" s="73">
        <v>319293.5</v>
      </c>
      <c r="D3" s="73">
        <f>C3</f>
        <v>319293.5</v>
      </c>
      <c r="E3" s="73"/>
      <c r="F3" s="74" t="str">
        <f>IF(ISBLANK($E3),"----",$E3-$D3)</f>
        <v>----</v>
      </c>
    </row>
    <row r="4" spans="1:6">
      <c r="A4" s="91">
        <v>44551</v>
      </c>
      <c r="B4" s="281" t="s">
        <v>482</v>
      </c>
      <c r="C4" s="85">
        <v>342622.4</v>
      </c>
      <c r="D4" s="85">
        <f>C4</f>
        <v>342622.4</v>
      </c>
      <c r="E4" s="85">
        <v>342622.39</v>
      </c>
      <c r="F4" s="126">
        <f t="shared" ref="F4:F19" si="0">IF(ISBLANK($E4),"----",$E4-$D4)</f>
        <v>-1.0000000009313226E-2</v>
      </c>
    </row>
    <row r="5" spans="1:6">
      <c r="A5" s="107">
        <v>44915</v>
      </c>
      <c r="B5" s="279" t="s">
        <v>621</v>
      </c>
      <c r="C5" s="90">
        <v>476642.96</v>
      </c>
      <c r="D5" s="90">
        <f>C5</f>
        <v>476642.96</v>
      </c>
      <c r="E5" s="90">
        <v>474129.24</v>
      </c>
      <c r="F5" s="126">
        <f t="shared" si="0"/>
        <v>-2513.7200000000303</v>
      </c>
    </row>
    <row r="6" spans="1:6">
      <c r="A6" s="107"/>
      <c r="B6" s="279"/>
      <c r="C6" s="90"/>
      <c r="D6" s="90"/>
      <c r="E6" s="90"/>
      <c r="F6" s="126" t="str">
        <f t="shared" si="0"/>
        <v>----</v>
      </c>
    </row>
    <row r="7" spans="1:6">
      <c r="A7" s="107"/>
      <c r="B7" s="279"/>
      <c r="C7" s="90"/>
      <c r="D7" s="90"/>
      <c r="E7" s="90"/>
      <c r="F7" s="126" t="str">
        <f t="shared" si="0"/>
        <v>----</v>
      </c>
    </row>
    <row r="8" spans="1:6">
      <c r="A8" s="107"/>
      <c r="B8" s="279"/>
      <c r="C8" s="90"/>
      <c r="D8" s="90"/>
      <c r="E8" s="90"/>
      <c r="F8" s="126" t="str">
        <f t="shared" si="0"/>
        <v>----</v>
      </c>
    </row>
    <row r="9" spans="1:6">
      <c r="A9" s="107"/>
      <c r="B9" s="279"/>
      <c r="C9" s="90"/>
      <c r="D9" s="90"/>
      <c r="E9" s="90"/>
      <c r="F9" s="126" t="str">
        <f t="shared" si="0"/>
        <v>----</v>
      </c>
    </row>
    <row r="10" spans="1:6">
      <c r="A10" s="107"/>
      <c r="B10" s="279"/>
      <c r="C10" s="90"/>
      <c r="D10" s="90"/>
      <c r="E10" s="90"/>
      <c r="F10" s="126" t="str">
        <f t="shared" si="0"/>
        <v>----</v>
      </c>
    </row>
    <row r="11" spans="1:6">
      <c r="A11" s="107"/>
      <c r="B11" s="279"/>
      <c r="C11" s="90"/>
      <c r="D11" s="90"/>
      <c r="E11" s="90"/>
      <c r="F11" s="126" t="str">
        <f t="shared" si="0"/>
        <v>----</v>
      </c>
    </row>
    <row r="12" spans="1:6">
      <c r="A12" s="107"/>
      <c r="B12" s="279"/>
      <c r="C12" s="90"/>
      <c r="D12" s="90"/>
      <c r="E12" s="90"/>
      <c r="F12" s="126" t="str">
        <f t="shared" si="0"/>
        <v>----</v>
      </c>
    </row>
    <row r="13" spans="1:6">
      <c r="A13" s="107"/>
      <c r="B13" s="279"/>
      <c r="C13" s="90"/>
      <c r="D13" s="90"/>
      <c r="E13" s="90"/>
      <c r="F13" s="126" t="str">
        <f t="shared" si="0"/>
        <v>----</v>
      </c>
    </row>
    <row r="14" spans="1:6">
      <c r="A14" s="107"/>
      <c r="B14" s="279"/>
      <c r="C14" s="90"/>
      <c r="D14" s="90"/>
      <c r="E14" s="90"/>
      <c r="F14" s="126" t="str">
        <f t="shared" si="0"/>
        <v>----</v>
      </c>
    </row>
    <row r="15" spans="1:6">
      <c r="A15" s="107"/>
      <c r="B15" s="279"/>
      <c r="C15" s="90"/>
      <c r="D15" s="90"/>
      <c r="E15" s="90"/>
      <c r="F15" s="126" t="str">
        <f t="shared" si="0"/>
        <v>----</v>
      </c>
    </row>
    <row r="16" spans="1:6">
      <c r="A16" s="107"/>
      <c r="B16" s="279"/>
      <c r="C16" s="90"/>
      <c r="D16" s="90"/>
      <c r="E16" s="90"/>
      <c r="F16" s="126" t="str">
        <f t="shared" si="0"/>
        <v>----</v>
      </c>
    </row>
    <row r="17" spans="1:7">
      <c r="A17" s="107"/>
      <c r="B17" s="279"/>
      <c r="C17" s="90"/>
      <c r="D17" s="90"/>
      <c r="E17" s="90"/>
      <c r="F17" s="126" t="str">
        <f t="shared" si="0"/>
        <v>----</v>
      </c>
    </row>
    <row r="18" spans="1:7">
      <c r="A18" s="107"/>
      <c r="B18" s="279"/>
      <c r="C18" s="90"/>
      <c r="D18" s="90"/>
      <c r="E18" s="90"/>
      <c r="F18" s="126" t="str">
        <f t="shared" si="0"/>
        <v>----</v>
      </c>
    </row>
    <row r="19" spans="1:7">
      <c r="A19" s="107"/>
      <c r="B19" s="279"/>
      <c r="C19" s="90"/>
      <c r="D19" s="90"/>
      <c r="E19" s="90"/>
      <c r="F19" s="126" t="str">
        <f t="shared" si="0"/>
        <v>----</v>
      </c>
    </row>
    <row r="20" spans="1:7">
      <c r="A20" s="123"/>
      <c r="B20" s="282"/>
      <c r="C20" s="125"/>
      <c r="D20" s="125"/>
      <c r="E20" s="125"/>
      <c r="F20" s="126" t="str">
        <f>IF(ISBLANK($E20),"----",$E20-$D20)</f>
        <v>----</v>
      </c>
    </row>
    <row r="21" spans="1:7" ht="15.75" thickBot="1">
      <c r="A21" s="75"/>
      <c r="B21" s="76"/>
      <c r="C21" s="77"/>
      <c r="D21" s="77"/>
      <c r="E21" s="77"/>
      <c r="F21" s="78" t="str">
        <f>IF(ISBLANK($E21),"----",$E21-$D21)</f>
        <v>----</v>
      </c>
    </row>
    <row r="22" spans="1:7" ht="15.75" thickBot="1">
      <c r="A22" s="28"/>
      <c r="B22" s="28"/>
      <c r="C22" s="29"/>
      <c r="D22" s="29"/>
      <c r="E22" s="29"/>
      <c r="F22" s="70">
        <f>SUM(F3:F21)</f>
        <v>-2513.7300000000396</v>
      </c>
      <c r="G22" s="17"/>
    </row>
  </sheetData>
  <mergeCells count="1">
    <mergeCell ref="A1:F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F24"/>
  <sheetViews>
    <sheetView workbookViewId="0">
      <selection activeCell="E5" sqref="E3:E5"/>
    </sheetView>
  </sheetViews>
  <sheetFormatPr defaultRowHeight="15"/>
  <cols>
    <col min="2" max="2" width="30.7109375" bestFit="1" customWidth="1"/>
    <col min="3" max="5" width="12.28515625" bestFit="1" customWidth="1"/>
    <col min="6" max="6" width="9.42578125" bestFit="1" customWidth="1"/>
  </cols>
  <sheetData>
    <row r="1" spans="1:6" ht="15.75" thickBot="1">
      <c r="A1" s="530" t="s">
        <v>251</v>
      </c>
      <c r="B1" s="531"/>
      <c r="C1" s="531"/>
      <c r="D1" s="531"/>
      <c r="E1" s="531"/>
      <c r="F1" s="532"/>
    </row>
    <row r="2" spans="1:6" ht="57.75" thickBot="1">
      <c r="A2" s="25" t="s">
        <v>110</v>
      </c>
      <c r="B2" s="79" t="s">
        <v>111</v>
      </c>
      <c r="C2" s="80" t="s">
        <v>112</v>
      </c>
      <c r="D2" s="80" t="s">
        <v>120</v>
      </c>
      <c r="E2" s="80" t="s">
        <v>121</v>
      </c>
      <c r="F2" s="26" t="s">
        <v>113</v>
      </c>
    </row>
    <row r="3" spans="1:6">
      <c r="A3" s="71">
        <v>44033</v>
      </c>
      <c r="B3" s="72" t="s">
        <v>297</v>
      </c>
      <c r="C3" s="73">
        <v>664562.31999999995</v>
      </c>
      <c r="D3" s="73">
        <f>C3</f>
        <v>664562.31999999995</v>
      </c>
      <c r="E3" s="73">
        <v>659636.07999999996</v>
      </c>
      <c r="F3" s="74">
        <f>IF(ISBLANK($E3),"----",$E3-$D3)</f>
        <v>-4926.2399999999907</v>
      </c>
    </row>
    <row r="4" spans="1:6">
      <c r="A4" s="91">
        <v>44124</v>
      </c>
      <c r="B4" s="106" t="s">
        <v>309</v>
      </c>
      <c r="C4" s="85">
        <v>647329</v>
      </c>
      <c r="D4" s="85">
        <v>428849</v>
      </c>
      <c r="E4" s="85"/>
      <c r="F4" s="86" t="str">
        <f>IF(ISBLANK($E4),"----",$E4-$D4)</f>
        <v>----</v>
      </c>
    </row>
    <row r="5" spans="1:6">
      <c r="A5" s="107">
        <v>44306</v>
      </c>
      <c r="B5" s="108" t="s">
        <v>423</v>
      </c>
      <c r="C5" s="90">
        <v>621942.03</v>
      </c>
      <c r="D5" s="90">
        <f t="shared" ref="D5:D10" si="0">C5</f>
        <v>621942.03</v>
      </c>
      <c r="E5" s="90">
        <v>685979.82</v>
      </c>
      <c r="F5" s="122">
        <f t="shared" ref="F5:F21" si="1">IF(ISBLANK($E5),"----",$E5-$D5)</f>
        <v>64037.789999999921</v>
      </c>
    </row>
    <row r="6" spans="1:6">
      <c r="A6" s="107">
        <v>44733</v>
      </c>
      <c r="B6" s="108" t="s">
        <v>540</v>
      </c>
      <c r="C6" s="90">
        <v>443631.64</v>
      </c>
      <c r="D6" s="90">
        <f t="shared" si="0"/>
        <v>443631.64</v>
      </c>
      <c r="E6" s="305"/>
      <c r="F6" s="122" t="str">
        <f t="shared" si="1"/>
        <v>----</v>
      </c>
    </row>
    <row r="7" spans="1:6">
      <c r="A7" s="107">
        <v>44774</v>
      </c>
      <c r="B7" s="108" t="s">
        <v>539</v>
      </c>
      <c r="C7" s="90">
        <v>-1500000</v>
      </c>
      <c r="D7" s="90">
        <f t="shared" si="0"/>
        <v>-1500000</v>
      </c>
      <c r="E7" s="305">
        <v>-1500000</v>
      </c>
      <c r="F7" s="122">
        <f t="shared" si="1"/>
        <v>0</v>
      </c>
    </row>
    <row r="8" spans="1:6">
      <c r="A8" s="107">
        <v>44789</v>
      </c>
      <c r="B8" s="108" t="s">
        <v>557</v>
      </c>
      <c r="C8" s="90">
        <v>485482.5</v>
      </c>
      <c r="D8" s="90">
        <f t="shared" si="0"/>
        <v>485482.5</v>
      </c>
      <c r="E8" s="90"/>
      <c r="F8" s="122" t="str">
        <f t="shared" si="1"/>
        <v>----</v>
      </c>
    </row>
    <row r="9" spans="1:6">
      <c r="A9" s="107">
        <v>44880</v>
      </c>
      <c r="B9" s="108" t="s">
        <v>591</v>
      </c>
      <c r="C9" s="90">
        <v>1073365.94</v>
      </c>
      <c r="D9" s="90">
        <f t="shared" si="0"/>
        <v>1073365.94</v>
      </c>
      <c r="E9" s="90"/>
      <c r="F9" s="122" t="str">
        <f t="shared" si="1"/>
        <v>----</v>
      </c>
    </row>
    <row r="10" spans="1:6">
      <c r="A10" s="107">
        <v>44880</v>
      </c>
      <c r="B10" s="108" t="s">
        <v>592</v>
      </c>
      <c r="C10" s="90">
        <v>1175531.25</v>
      </c>
      <c r="D10" s="90">
        <f t="shared" si="0"/>
        <v>1175531.25</v>
      </c>
      <c r="E10" s="90"/>
      <c r="F10" s="122" t="str">
        <f t="shared" si="1"/>
        <v>----</v>
      </c>
    </row>
    <row r="11" spans="1:6">
      <c r="A11" s="107">
        <v>44944</v>
      </c>
      <c r="B11" s="108" t="s">
        <v>643</v>
      </c>
      <c r="C11" s="90">
        <v>1861848.2</v>
      </c>
      <c r="D11" s="90">
        <f>C11</f>
        <v>1861848.2</v>
      </c>
      <c r="E11" s="90"/>
      <c r="F11" s="122" t="str">
        <f t="shared" si="1"/>
        <v>----</v>
      </c>
    </row>
    <row r="12" spans="1:6">
      <c r="A12" s="107"/>
      <c r="B12" s="108"/>
      <c r="C12" s="90"/>
      <c r="D12" s="90"/>
      <c r="E12" s="90"/>
      <c r="F12" s="122" t="str">
        <f t="shared" si="1"/>
        <v>----</v>
      </c>
    </row>
    <row r="13" spans="1:6">
      <c r="A13" s="107"/>
      <c r="B13" s="108"/>
      <c r="C13" s="90"/>
      <c r="D13" s="90"/>
      <c r="E13" s="90"/>
      <c r="F13" s="122" t="str">
        <f t="shared" si="1"/>
        <v>----</v>
      </c>
    </row>
    <row r="14" spans="1:6">
      <c r="A14" s="107"/>
      <c r="B14" s="108"/>
      <c r="C14" s="90"/>
      <c r="D14" s="90"/>
      <c r="E14" s="90"/>
      <c r="F14" s="122" t="str">
        <f t="shared" si="1"/>
        <v>----</v>
      </c>
    </row>
    <row r="15" spans="1:6">
      <c r="A15" s="107"/>
      <c r="B15" s="108"/>
      <c r="C15" s="90"/>
      <c r="D15" s="90"/>
      <c r="E15" s="90"/>
      <c r="F15" s="122" t="str">
        <f t="shared" si="1"/>
        <v>----</v>
      </c>
    </row>
    <row r="16" spans="1:6">
      <c r="A16" s="107"/>
      <c r="B16" s="108"/>
      <c r="C16" s="90"/>
      <c r="D16" s="90"/>
      <c r="E16" s="90"/>
      <c r="F16" s="122" t="str">
        <f t="shared" si="1"/>
        <v>----</v>
      </c>
    </row>
    <row r="17" spans="1:6">
      <c r="A17" s="107"/>
      <c r="B17" s="108"/>
      <c r="C17" s="90"/>
      <c r="D17" s="90"/>
      <c r="E17" s="90"/>
      <c r="F17" s="122" t="str">
        <f t="shared" si="1"/>
        <v>----</v>
      </c>
    </row>
    <row r="18" spans="1:6">
      <c r="A18" s="107"/>
      <c r="B18" s="108"/>
      <c r="C18" s="90"/>
      <c r="D18" s="90"/>
      <c r="E18" s="90"/>
      <c r="F18" s="122" t="str">
        <f t="shared" si="1"/>
        <v>----</v>
      </c>
    </row>
    <row r="19" spans="1:6">
      <c r="A19" s="107"/>
      <c r="B19" s="108"/>
      <c r="C19" s="90"/>
      <c r="D19" s="90"/>
      <c r="E19" s="90"/>
      <c r="F19" s="122" t="str">
        <f t="shared" si="1"/>
        <v>----</v>
      </c>
    </row>
    <row r="20" spans="1:6">
      <c r="A20" s="107"/>
      <c r="B20" s="108"/>
      <c r="C20" s="90"/>
      <c r="D20" s="90"/>
      <c r="E20" s="90"/>
      <c r="F20" s="122" t="str">
        <f t="shared" si="1"/>
        <v>----</v>
      </c>
    </row>
    <row r="21" spans="1:6">
      <c r="A21" s="107"/>
      <c r="B21" s="108"/>
      <c r="C21" s="90"/>
      <c r="D21" s="90"/>
      <c r="E21" s="90"/>
      <c r="F21" s="122" t="str">
        <f t="shared" si="1"/>
        <v>----</v>
      </c>
    </row>
    <row r="22" spans="1:6">
      <c r="A22" s="123"/>
      <c r="B22" s="124"/>
      <c r="C22" s="125"/>
      <c r="D22" s="125"/>
      <c r="E22" s="125"/>
      <c r="F22" s="126" t="str">
        <f>IF(ISBLANK($E22),"----",$E22-$D22)</f>
        <v>----</v>
      </c>
    </row>
    <row r="23" spans="1:6" ht="15.75" thickBot="1">
      <c r="A23" s="75"/>
      <c r="B23" s="76"/>
      <c r="C23" s="77"/>
      <c r="D23" s="77"/>
      <c r="E23" s="77"/>
      <c r="F23" s="78" t="str">
        <f>IF(ISBLANK($E23),"----",$E23-$D23)</f>
        <v>----</v>
      </c>
    </row>
    <row r="24" spans="1:6" ht="15.75" thickBot="1">
      <c r="A24" s="28"/>
      <c r="B24" s="28"/>
      <c r="C24" s="29"/>
      <c r="D24" s="29"/>
      <c r="E24" s="29"/>
      <c r="F24" s="70">
        <f>SUM(F3:F23)</f>
        <v>59111.54999999993</v>
      </c>
    </row>
  </sheetData>
  <mergeCells count="1">
    <mergeCell ref="A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F21"/>
  <sheetViews>
    <sheetView workbookViewId="0">
      <selection activeCell="E6" sqref="E3:E6"/>
    </sheetView>
  </sheetViews>
  <sheetFormatPr defaultRowHeight="15"/>
  <cols>
    <col min="2" max="2" width="23.7109375" bestFit="1" customWidth="1"/>
    <col min="3" max="3" width="10.7109375" bestFit="1" customWidth="1"/>
    <col min="4" max="5" width="11" customWidth="1"/>
    <col min="6" max="6" width="11.7109375" customWidth="1"/>
  </cols>
  <sheetData>
    <row r="1" spans="1:6" ht="15.75" thickBot="1">
      <c r="A1" s="530" t="s">
        <v>214</v>
      </c>
      <c r="B1" s="531"/>
      <c r="C1" s="531"/>
      <c r="D1" s="531"/>
      <c r="E1" s="531"/>
      <c r="F1" s="532"/>
    </row>
    <row r="2" spans="1:6" ht="57.75" thickBot="1">
      <c r="A2" s="25" t="s">
        <v>110</v>
      </c>
      <c r="B2" s="79" t="s">
        <v>111</v>
      </c>
      <c r="C2" s="80" t="s">
        <v>112</v>
      </c>
      <c r="D2" s="80" t="s">
        <v>120</v>
      </c>
      <c r="E2" s="80" t="s">
        <v>121</v>
      </c>
      <c r="F2" s="26" t="s">
        <v>113</v>
      </c>
    </row>
    <row r="3" spans="1:6">
      <c r="A3" s="71">
        <v>43879</v>
      </c>
      <c r="B3" s="72" t="s">
        <v>395</v>
      </c>
      <c r="C3" s="73">
        <v>487980.01</v>
      </c>
      <c r="D3" s="73">
        <f>C3</f>
        <v>487980.01</v>
      </c>
      <c r="E3" s="73">
        <v>488409.51</v>
      </c>
      <c r="F3" s="74">
        <f>IF(ISBLANK($E3),"----",$E3-$D3)</f>
        <v>429.5</v>
      </c>
    </row>
    <row r="4" spans="1:6">
      <c r="A4" s="107">
        <v>44089</v>
      </c>
      <c r="B4" s="108" t="s">
        <v>586</v>
      </c>
      <c r="C4" s="90">
        <v>818168.13</v>
      </c>
      <c r="D4" s="90">
        <v>353898.12</v>
      </c>
      <c r="E4" s="90">
        <v>357667.43</v>
      </c>
      <c r="F4" s="86">
        <f>IF(ISBLANK($E4),"----",$E4-$D4)</f>
        <v>3769.3099999999977</v>
      </c>
    </row>
    <row r="5" spans="1:6">
      <c r="A5" s="91">
        <v>44243</v>
      </c>
      <c r="B5" s="106" t="s">
        <v>394</v>
      </c>
      <c r="C5" s="85">
        <v>629906.27</v>
      </c>
      <c r="D5" s="85">
        <f>C5</f>
        <v>629906.27</v>
      </c>
      <c r="E5" s="85">
        <v>665581.79</v>
      </c>
      <c r="F5" s="86">
        <f>IF(ISBLANK($E5),"----",$E5-$D5)</f>
        <v>35675.520000000019</v>
      </c>
    </row>
    <row r="6" spans="1:6">
      <c r="A6" s="107">
        <v>44880</v>
      </c>
      <c r="B6" s="108" t="s">
        <v>593</v>
      </c>
      <c r="C6" s="90">
        <v>503343.15</v>
      </c>
      <c r="D6" s="90">
        <f>C6</f>
        <v>503343.15</v>
      </c>
      <c r="E6" s="90">
        <v>512828.15999999997</v>
      </c>
      <c r="F6" s="86">
        <f t="shared" ref="F6:F19" si="0">IF(ISBLANK($E6),"----",$E6-$D6)</f>
        <v>9485.0099999999511</v>
      </c>
    </row>
    <row r="7" spans="1:6">
      <c r="A7" s="107">
        <v>44915</v>
      </c>
      <c r="B7" s="108" t="s">
        <v>622</v>
      </c>
      <c r="C7" s="90">
        <v>882111.3</v>
      </c>
      <c r="D7" s="90">
        <f>C7</f>
        <v>882111.3</v>
      </c>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23"/>
      <c r="B19" s="124"/>
      <c r="C19" s="125"/>
      <c r="D19" s="125"/>
      <c r="E19" s="125"/>
      <c r="F19" s="86" t="str">
        <f t="shared" si="0"/>
        <v>----</v>
      </c>
    </row>
    <row r="20" spans="1:6" ht="15.75" thickBot="1">
      <c r="A20" s="75"/>
      <c r="B20" s="76"/>
      <c r="C20" s="77"/>
      <c r="D20" s="77"/>
      <c r="E20" s="77"/>
      <c r="F20" s="78" t="str">
        <f>IF(ISBLANK($E20),"----",$E20-$D20)</f>
        <v>----</v>
      </c>
    </row>
    <row r="21" spans="1:6" ht="15.75" thickBot="1">
      <c r="A21" s="28"/>
      <c r="B21" s="28"/>
      <c r="C21" s="29"/>
      <c r="D21" s="29"/>
      <c r="E21" s="29"/>
      <c r="F21" s="70">
        <f>SUM(F3:F20)</f>
        <v>49359.339999999967</v>
      </c>
    </row>
  </sheetData>
  <mergeCells count="1">
    <mergeCell ref="A1:F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F18"/>
  <sheetViews>
    <sheetView workbookViewId="0">
      <selection activeCell="E3" sqref="E3"/>
    </sheetView>
  </sheetViews>
  <sheetFormatPr defaultRowHeight="15"/>
  <cols>
    <col min="2" max="2" width="22.85546875" bestFit="1" customWidth="1"/>
    <col min="3" max="3" width="10.7109375" bestFit="1" customWidth="1"/>
    <col min="4" max="4" width="12.140625" customWidth="1"/>
    <col min="5" max="5" width="10.140625" bestFit="1" customWidth="1"/>
    <col min="6" max="6" width="14.7109375" customWidth="1"/>
  </cols>
  <sheetData>
    <row r="1" spans="1:6" ht="15.75" thickBot="1">
      <c r="A1" s="530" t="s">
        <v>152</v>
      </c>
      <c r="B1" s="531"/>
      <c r="C1" s="531"/>
      <c r="D1" s="531"/>
      <c r="E1" s="531"/>
      <c r="F1" s="532"/>
    </row>
    <row r="2" spans="1:6" ht="57.75" thickBot="1">
      <c r="A2" s="25" t="s">
        <v>110</v>
      </c>
      <c r="B2" s="79" t="s">
        <v>111</v>
      </c>
      <c r="C2" s="80" t="s">
        <v>112</v>
      </c>
      <c r="D2" s="80" t="s">
        <v>120</v>
      </c>
      <c r="E2" s="80" t="s">
        <v>121</v>
      </c>
      <c r="F2" s="26" t="s">
        <v>113</v>
      </c>
    </row>
    <row r="3" spans="1:6">
      <c r="A3" s="71">
        <v>43816</v>
      </c>
      <c r="B3" s="72" t="s">
        <v>669</v>
      </c>
      <c r="C3" s="73">
        <v>152538.85999999999</v>
      </c>
      <c r="D3" s="73">
        <f>C3</f>
        <v>152538.85999999999</v>
      </c>
      <c r="E3" s="73">
        <v>153305.99</v>
      </c>
      <c r="F3" s="74">
        <f>IF(ISBLANK($E3),"----",$E3-$D3)</f>
        <v>767.13000000000466</v>
      </c>
    </row>
    <row r="4" spans="1:6">
      <c r="A4" s="91">
        <v>45097</v>
      </c>
      <c r="B4" s="106" t="s">
        <v>668</v>
      </c>
      <c r="C4" s="85">
        <v>523952.6</v>
      </c>
      <c r="D4" s="85">
        <f>C4</f>
        <v>523952.6</v>
      </c>
      <c r="E4" s="85"/>
      <c r="F4" s="86" t="str">
        <f t="shared" ref="F4:F15" si="0">IF(ISBLANK($E4),"----",$E4-$D4)</f>
        <v>----</v>
      </c>
    </row>
    <row r="5" spans="1:6">
      <c r="A5" s="107"/>
      <c r="B5" s="108"/>
      <c r="C5" s="90"/>
      <c r="D5" s="90"/>
      <c r="E5" s="90"/>
      <c r="F5" s="122" t="str">
        <f t="shared" si="0"/>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23"/>
      <c r="B16" s="124"/>
      <c r="C16" s="125"/>
      <c r="D16" s="125"/>
      <c r="E16" s="125"/>
      <c r="F16" s="126" t="str">
        <f>IF(ISBLANK($E16),"----",$E16-$D16)</f>
        <v>----</v>
      </c>
    </row>
    <row r="17" spans="1:6" ht="15.75" thickBot="1">
      <c r="A17" s="75"/>
      <c r="B17" s="76"/>
      <c r="C17" s="77"/>
      <c r="D17" s="77"/>
      <c r="E17" s="77"/>
      <c r="F17" s="78" t="str">
        <f>IF(ISBLANK($E17),"----",$E17-$D17)</f>
        <v>----</v>
      </c>
    </row>
    <row r="18" spans="1:6" ht="15.75" thickBot="1">
      <c r="A18" s="28"/>
      <c r="B18" s="28"/>
      <c r="C18" s="29"/>
      <c r="D18" s="29"/>
      <c r="E18" s="29"/>
      <c r="F18" s="70">
        <f>SUM(F3:F17)</f>
        <v>767.13000000000466</v>
      </c>
    </row>
  </sheetData>
  <mergeCells count="1">
    <mergeCell ref="A1:F1"/>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F22"/>
  <sheetViews>
    <sheetView workbookViewId="0">
      <selection activeCell="D5" sqref="D5"/>
    </sheetView>
  </sheetViews>
  <sheetFormatPr defaultRowHeight="15"/>
  <cols>
    <col min="1" max="1" width="8.5703125" bestFit="1" customWidth="1"/>
    <col min="2" max="2" width="22.85546875" bestFit="1" customWidth="1"/>
    <col min="3" max="4" width="10.7109375" bestFit="1" customWidth="1"/>
    <col min="5" max="5" width="8" bestFit="1" customWidth="1"/>
    <col min="6" max="6" width="7.42578125" bestFit="1" customWidth="1"/>
  </cols>
  <sheetData>
    <row r="1" spans="1:6" ht="15.75" thickBot="1">
      <c r="A1" s="530" t="s">
        <v>252</v>
      </c>
      <c r="B1" s="531"/>
      <c r="C1" s="531"/>
      <c r="D1" s="531"/>
      <c r="E1" s="531"/>
      <c r="F1" s="532"/>
    </row>
    <row r="2" spans="1:6" ht="80.25" thickBot="1">
      <c r="A2" s="25" t="s">
        <v>110</v>
      </c>
      <c r="B2" s="79" t="s">
        <v>111</v>
      </c>
      <c r="C2" s="80" t="s">
        <v>112</v>
      </c>
      <c r="D2" s="80" t="s">
        <v>120</v>
      </c>
      <c r="E2" s="80" t="s">
        <v>121</v>
      </c>
      <c r="F2" s="26" t="s">
        <v>113</v>
      </c>
    </row>
    <row r="3" spans="1:6">
      <c r="A3" s="71">
        <v>44516</v>
      </c>
      <c r="B3" s="72" t="s">
        <v>466</v>
      </c>
      <c r="C3" s="73">
        <v>879845.12</v>
      </c>
      <c r="D3" s="73">
        <f>C3</f>
        <v>879845.12</v>
      </c>
      <c r="E3" s="73"/>
      <c r="F3" s="74" t="str">
        <f>IF(ISBLANK($E3),"----",$E3-$D3)</f>
        <v>----</v>
      </c>
    </row>
    <row r="4" spans="1:6">
      <c r="A4" s="91">
        <v>44733</v>
      </c>
      <c r="B4" s="106" t="s">
        <v>541</v>
      </c>
      <c r="C4" s="85">
        <v>591209.19999999995</v>
      </c>
      <c r="D4" s="85">
        <f>C4</f>
        <v>591209.19999999995</v>
      </c>
      <c r="E4" s="85"/>
      <c r="F4" s="86" t="str">
        <f>IF(ISBLANK($E4),"----",$E4-$D4)</f>
        <v>----</v>
      </c>
    </row>
    <row r="5" spans="1:6">
      <c r="A5" s="91"/>
      <c r="B5" s="106"/>
      <c r="C5" s="85"/>
      <c r="D5" s="85"/>
      <c r="E5" s="85"/>
      <c r="F5" s="86" t="str">
        <f t="shared" ref="F5:F20" si="0">IF(ISBLANK($E5),"----",$E5-$D5)</f>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 t="shared" si="0"/>
        <v>----</v>
      </c>
    </row>
    <row r="19" spans="1:6">
      <c r="A19" s="91"/>
      <c r="B19" s="106"/>
      <c r="C19" s="85"/>
      <c r="D19" s="85"/>
      <c r="E19" s="85"/>
      <c r="F19" s="86" t="str">
        <f t="shared" si="0"/>
        <v>----</v>
      </c>
    </row>
    <row r="20" spans="1:6">
      <c r="A20" s="91"/>
      <c r="B20" s="106"/>
      <c r="C20" s="85"/>
      <c r="D20" s="85"/>
      <c r="E20" s="85"/>
      <c r="F20" s="86" t="str">
        <f t="shared" si="0"/>
        <v>----</v>
      </c>
    </row>
    <row r="21" spans="1:6" ht="15.75" thickBot="1">
      <c r="A21" s="75"/>
      <c r="B21" s="76"/>
      <c r="C21" s="77"/>
      <c r="D21" s="77"/>
      <c r="E21" s="77"/>
      <c r="F21" s="78" t="str">
        <f>IF(ISBLANK($E21),"----",$E21-$D21)</f>
        <v>----</v>
      </c>
    </row>
    <row r="22" spans="1:6" ht="15.75" thickBot="1">
      <c r="A22" s="28"/>
      <c r="B22" s="28"/>
      <c r="C22" s="29"/>
      <c r="D22" s="29"/>
      <c r="E22" s="29"/>
      <c r="F22" s="70">
        <f>SUM(F3:F21)</f>
        <v>0</v>
      </c>
    </row>
  </sheetData>
  <mergeCells count="1">
    <mergeCell ref="A1:F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G19"/>
  <sheetViews>
    <sheetView workbookViewId="0">
      <selection activeCell="E8" sqref="E6:E8"/>
    </sheetView>
  </sheetViews>
  <sheetFormatPr defaultRowHeight="15"/>
  <cols>
    <col min="2" max="2" width="22.85546875" bestFit="1" customWidth="1"/>
    <col min="3" max="3" width="12" bestFit="1" customWidth="1"/>
    <col min="4" max="4" width="13.140625" customWidth="1"/>
    <col min="5" max="5" width="11.42578125" bestFit="1" customWidth="1"/>
    <col min="6" max="6" width="13" customWidth="1"/>
  </cols>
  <sheetData>
    <row r="1" spans="1:7" ht="15.75" thickBot="1">
      <c r="A1" s="530" t="s">
        <v>175</v>
      </c>
      <c r="B1" s="531"/>
      <c r="C1" s="531"/>
      <c r="D1" s="531"/>
      <c r="E1" s="531"/>
      <c r="F1" s="532"/>
    </row>
    <row r="2" spans="1:7" ht="46.5" thickBot="1">
      <c r="A2" s="25" t="s">
        <v>110</v>
      </c>
      <c r="B2" s="79" t="s">
        <v>111</v>
      </c>
      <c r="C2" s="80" t="s">
        <v>112</v>
      </c>
      <c r="D2" s="80" t="s">
        <v>120</v>
      </c>
      <c r="E2" s="80" t="s">
        <v>121</v>
      </c>
      <c r="F2" s="26" t="s">
        <v>113</v>
      </c>
    </row>
    <row r="3" spans="1:7">
      <c r="A3" s="71">
        <v>43852</v>
      </c>
      <c r="B3" s="72" t="s">
        <v>209</v>
      </c>
      <c r="C3" s="73">
        <v>321780</v>
      </c>
      <c r="D3" s="73">
        <f>C3</f>
        <v>321780</v>
      </c>
      <c r="E3" s="73"/>
      <c r="F3" s="74" t="str">
        <f>IF(ISBLANK($E3),"----",$E3-$D3)</f>
        <v>----</v>
      </c>
    </row>
    <row r="4" spans="1:7">
      <c r="A4" s="91">
        <v>43852</v>
      </c>
      <c r="B4" s="106" t="s">
        <v>210</v>
      </c>
      <c r="C4" s="85">
        <v>765828.4</v>
      </c>
      <c r="D4" s="85">
        <v>0</v>
      </c>
      <c r="E4" s="85"/>
      <c r="F4" s="86" t="str">
        <f>IF(ISBLANK($E4),"----",$E4-$D4)</f>
        <v>----</v>
      </c>
      <c r="G4" t="s">
        <v>211</v>
      </c>
    </row>
    <row r="5" spans="1:7">
      <c r="A5" s="107">
        <v>44216</v>
      </c>
      <c r="B5" s="108" t="s">
        <v>372</v>
      </c>
      <c r="C5" s="90">
        <v>634078.81999999995</v>
      </c>
      <c r="D5" s="85">
        <v>0</v>
      </c>
      <c r="E5" s="90"/>
      <c r="F5" s="86" t="str">
        <f t="shared" ref="F5:F17" si="0">IF(ISBLANK($E5),"----",$E5-$D5)</f>
        <v>----</v>
      </c>
      <c r="G5" t="s">
        <v>373</v>
      </c>
    </row>
    <row r="6" spans="1:7">
      <c r="A6" s="107">
        <v>44306</v>
      </c>
      <c r="B6" s="108" t="s">
        <v>424</v>
      </c>
      <c r="C6" s="90">
        <v>541859.67000000004</v>
      </c>
      <c r="D6" s="90">
        <v>214139.67</v>
      </c>
      <c r="E6" s="90">
        <v>211255.16</v>
      </c>
      <c r="F6" s="86">
        <f t="shared" si="0"/>
        <v>-2884.5100000000093</v>
      </c>
      <c r="G6" t="s">
        <v>425</v>
      </c>
    </row>
    <row r="7" spans="1:7">
      <c r="A7" s="107">
        <v>44580</v>
      </c>
      <c r="B7" s="108" t="s">
        <v>492</v>
      </c>
      <c r="C7" s="90">
        <v>1047234.25</v>
      </c>
      <c r="D7" s="90">
        <f>C7</f>
        <v>1047234.25</v>
      </c>
      <c r="E7" s="90">
        <v>1046029.41</v>
      </c>
      <c r="F7" s="86">
        <f t="shared" si="0"/>
        <v>-1204.8399999999674</v>
      </c>
    </row>
    <row r="8" spans="1:7">
      <c r="A8" s="130">
        <v>44761</v>
      </c>
      <c r="B8" s="131" t="s">
        <v>550</v>
      </c>
      <c r="C8" s="132">
        <f>206085/2</f>
        <v>103042.5</v>
      </c>
      <c r="D8" s="132">
        <f>C8</f>
        <v>103042.5</v>
      </c>
      <c r="E8" s="90">
        <v>104248.34</v>
      </c>
      <c r="F8" s="86">
        <f t="shared" si="0"/>
        <v>1205.8399999999965</v>
      </c>
      <c r="G8" t="s">
        <v>438</v>
      </c>
    </row>
    <row r="9" spans="1:7">
      <c r="A9" s="107">
        <v>44915</v>
      </c>
      <c r="B9" s="108" t="s">
        <v>623</v>
      </c>
      <c r="C9" s="90">
        <v>1146333.97</v>
      </c>
      <c r="D9" s="90">
        <f>C9</f>
        <v>1146333.97</v>
      </c>
      <c r="E9" s="90"/>
      <c r="F9" s="86" t="str">
        <f t="shared" si="0"/>
        <v>----</v>
      </c>
    </row>
    <row r="10" spans="1:7">
      <c r="A10" s="107">
        <v>44944</v>
      </c>
      <c r="B10" s="108" t="s">
        <v>644</v>
      </c>
      <c r="C10" s="90">
        <v>723565.07</v>
      </c>
      <c r="D10" s="90">
        <f>C10</f>
        <v>723565.07</v>
      </c>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23"/>
      <c r="B17" s="124"/>
      <c r="C17" s="125"/>
      <c r="D17" s="125"/>
      <c r="E17" s="125"/>
      <c r="F17" s="86" t="str">
        <f t="shared" si="0"/>
        <v>----</v>
      </c>
    </row>
    <row r="18" spans="1:6" ht="15.75" thickBot="1">
      <c r="A18" s="75"/>
      <c r="B18" s="76"/>
      <c r="C18" s="77"/>
      <c r="D18" s="77"/>
      <c r="E18" s="77"/>
      <c r="F18" s="78" t="str">
        <f>IF(ISBLANK($E18),"----",$E18-$D18)</f>
        <v>----</v>
      </c>
    </row>
    <row r="19" spans="1:6" ht="15.75" thickBot="1">
      <c r="A19" s="28"/>
      <c r="B19" s="28"/>
      <c r="C19" s="29"/>
      <c r="D19" s="29"/>
      <c r="E19" s="29"/>
      <c r="F19" s="70">
        <f>SUM(F3:F18)</f>
        <v>-2883.5099999999802</v>
      </c>
    </row>
  </sheetData>
  <mergeCells count="1">
    <mergeCell ref="A1:F1"/>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Q24"/>
  <sheetViews>
    <sheetView workbookViewId="0">
      <selection activeCell="K16" sqref="K16"/>
    </sheetView>
  </sheetViews>
  <sheetFormatPr defaultRowHeight="15"/>
  <cols>
    <col min="2" max="2" width="22.7109375" bestFit="1" customWidth="1"/>
    <col min="3" max="4" width="10.7109375" bestFit="1" customWidth="1"/>
    <col min="5" max="5" width="12.42578125" customWidth="1"/>
    <col min="6" max="6" width="11.42578125" customWidth="1"/>
  </cols>
  <sheetData>
    <row r="1" spans="1:17" ht="15.75" thickBot="1">
      <c r="A1" s="530" t="s">
        <v>136</v>
      </c>
      <c r="B1" s="531"/>
      <c r="C1" s="531"/>
      <c r="D1" s="531"/>
      <c r="E1" s="531"/>
      <c r="F1" s="532"/>
    </row>
    <row r="2" spans="1:17" ht="57.75" thickBot="1">
      <c r="A2" s="25" t="s">
        <v>110</v>
      </c>
      <c r="B2" s="79" t="s">
        <v>111</v>
      </c>
      <c r="C2" s="80" t="s">
        <v>112</v>
      </c>
      <c r="D2" s="80" t="s">
        <v>120</v>
      </c>
      <c r="E2" s="80" t="s">
        <v>121</v>
      </c>
      <c r="F2" s="26" t="s">
        <v>113</v>
      </c>
    </row>
    <row r="3" spans="1:17">
      <c r="A3" s="71">
        <v>43788</v>
      </c>
      <c r="B3" s="435" t="s">
        <v>146</v>
      </c>
      <c r="C3" s="73">
        <v>249397</v>
      </c>
      <c r="D3" s="73">
        <v>199517.6</v>
      </c>
      <c r="E3" s="73">
        <v>198478.1</v>
      </c>
      <c r="F3" s="74">
        <f>IF(ISBLANK($E3),"----",$E3-$D3)</f>
        <v>-1039.5</v>
      </c>
    </row>
    <row r="4" spans="1:17">
      <c r="A4" s="94" t="s">
        <v>716</v>
      </c>
      <c r="B4" s="124" t="s">
        <v>146</v>
      </c>
      <c r="C4" s="87">
        <f>65544.6+7386.1</f>
        <v>72930.700000000012</v>
      </c>
      <c r="D4" s="436">
        <v>33267.599999999999</v>
      </c>
      <c r="E4" s="87">
        <v>58344.56</v>
      </c>
      <c r="F4" s="86">
        <f>IF(ISBLANK($E4),"----",$E4-$D4)</f>
        <v>25076.959999999999</v>
      </c>
      <c r="G4" t="s">
        <v>715</v>
      </c>
    </row>
    <row r="5" spans="1:17">
      <c r="A5" s="214">
        <v>43879</v>
      </c>
      <c r="B5" s="106" t="s">
        <v>215</v>
      </c>
      <c r="C5" s="215">
        <v>441592.87</v>
      </c>
      <c r="D5" s="215">
        <v>353274.3</v>
      </c>
      <c r="E5" s="215">
        <f>443919.76*0.8</f>
        <v>355135.80800000002</v>
      </c>
      <c r="F5" s="86">
        <f>IF(ISBLANK($E5),"----",$E5-$D5)</f>
        <v>1861.5080000000307</v>
      </c>
    </row>
    <row r="6" spans="1:17">
      <c r="A6" s="437" t="s">
        <v>716</v>
      </c>
      <c r="B6" s="118" t="s">
        <v>215</v>
      </c>
      <c r="C6" s="438">
        <v>71986.100000000006</v>
      </c>
      <c r="D6" s="438">
        <v>0</v>
      </c>
      <c r="E6" s="438">
        <v>57588.88</v>
      </c>
      <c r="F6" s="86">
        <f>IF(ISBLANK($E6),"----",$E6-$D6)</f>
        <v>57588.88</v>
      </c>
      <c r="G6" t="s">
        <v>713</v>
      </c>
    </row>
    <row r="7" spans="1:17">
      <c r="A7" s="107">
        <v>44216</v>
      </c>
      <c r="B7" s="108" t="s">
        <v>374</v>
      </c>
      <c r="C7" s="90">
        <v>424079.6</v>
      </c>
      <c r="D7" s="90">
        <f>C7</f>
        <v>424079.6</v>
      </c>
      <c r="E7" s="90">
        <v>430785.47</v>
      </c>
      <c r="F7" s="86">
        <f t="shared" ref="F7:F22" si="0">IF(ISBLANK($E7),"----",$E7-$D7)</f>
        <v>6705.8699999999953</v>
      </c>
    </row>
    <row r="8" spans="1:17" ht="15" customHeight="1">
      <c r="A8" s="107">
        <v>44243</v>
      </c>
      <c r="B8" s="108" t="s">
        <v>396</v>
      </c>
      <c r="C8" s="90">
        <v>531449.79</v>
      </c>
      <c r="D8" s="90">
        <f>C8</f>
        <v>531449.79</v>
      </c>
      <c r="E8" s="90">
        <v>547859.80000000005</v>
      </c>
      <c r="F8" s="86">
        <f t="shared" si="0"/>
        <v>16410.010000000009</v>
      </c>
      <c r="L8" s="536" t="s">
        <v>714</v>
      </c>
      <c r="M8" s="536"/>
      <c r="N8" s="536"/>
      <c r="O8" s="536"/>
      <c r="P8" s="536"/>
      <c r="Q8" s="536"/>
    </row>
    <row r="9" spans="1:17">
      <c r="A9" s="107"/>
      <c r="B9" s="108"/>
      <c r="C9" s="90"/>
      <c r="D9" s="90"/>
      <c r="E9" s="90"/>
      <c r="F9" s="86" t="str">
        <f t="shared" si="0"/>
        <v>----</v>
      </c>
      <c r="L9" s="536"/>
      <c r="M9" s="536"/>
      <c r="N9" s="536"/>
      <c r="O9" s="536"/>
      <c r="P9" s="536"/>
      <c r="Q9" s="536"/>
    </row>
    <row r="10" spans="1:17">
      <c r="A10" s="107"/>
      <c r="B10" s="108"/>
      <c r="C10" s="90"/>
      <c r="D10" s="90"/>
      <c r="E10" s="90"/>
      <c r="F10" s="86" t="str">
        <f t="shared" si="0"/>
        <v>----</v>
      </c>
      <c r="L10" s="536"/>
      <c r="M10" s="536"/>
      <c r="N10" s="536"/>
      <c r="O10" s="536"/>
      <c r="P10" s="536"/>
      <c r="Q10" s="536"/>
    </row>
    <row r="11" spans="1:17">
      <c r="A11" s="107"/>
      <c r="B11" s="108"/>
      <c r="C11" s="90"/>
      <c r="D11" s="90"/>
      <c r="E11" s="90"/>
      <c r="F11" s="86" t="str">
        <f t="shared" si="0"/>
        <v>----</v>
      </c>
      <c r="L11" s="536"/>
      <c r="M11" s="536"/>
      <c r="N11" s="536"/>
      <c r="O11" s="536"/>
      <c r="P11" s="536"/>
      <c r="Q11" s="536"/>
    </row>
    <row r="12" spans="1:17">
      <c r="A12" s="107"/>
      <c r="B12" s="108"/>
      <c r="C12" s="90"/>
      <c r="D12" s="90"/>
      <c r="E12" s="90"/>
      <c r="F12" s="86" t="str">
        <f t="shared" si="0"/>
        <v>----</v>
      </c>
      <c r="L12" s="536"/>
      <c r="M12" s="536"/>
      <c r="N12" s="536"/>
      <c r="O12" s="536"/>
      <c r="P12" s="536"/>
      <c r="Q12" s="536"/>
    </row>
    <row r="13" spans="1:17">
      <c r="A13" s="107"/>
      <c r="B13" s="108"/>
      <c r="C13" s="90"/>
      <c r="D13" s="90"/>
      <c r="E13" s="90"/>
      <c r="F13" s="86" t="str">
        <f t="shared" si="0"/>
        <v>----</v>
      </c>
      <c r="L13" s="536"/>
      <c r="M13" s="536"/>
      <c r="N13" s="536"/>
      <c r="O13" s="536"/>
      <c r="P13" s="536"/>
      <c r="Q13" s="536"/>
    </row>
    <row r="14" spans="1:17">
      <c r="A14" s="107"/>
      <c r="B14" s="108"/>
      <c r="C14" s="90"/>
      <c r="D14" s="90"/>
      <c r="E14" s="90"/>
      <c r="F14" s="86" t="str">
        <f t="shared" si="0"/>
        <v>----</v>
      </c>
      <c r="L14" s="536"/>
      <c r="M14" s="536"/>
      <c r="N14" s="536"/>
      <c r="O14" s="536"/>
      <c r="P14" s="536"/>
      <c r="Q14" s="536"/>
    </row>
    <row r="15" spans="1:17">
      <c r="A15" s="107"/>
      <c r="B15" s="108"/>
      <c r="C15" s="90"/>
      <c r="D15" s="90"/>
      <c r="E15" s="90"/>
      <c r="F15" s="86" t="str">
        <f t="shared" si="0"/>
        <v>----</v>
      </c>
      <c r="L15" s="536"/>
      <c r="M15" s="536"/>
      <c r="N15" s="536"/>
      <c r="O15" s="536"/>
      <c r="P15" s="536"/>
      <c r="Q15" s="536"/>
    </row>
    <row r="16" spans="1:17">
      <c r="A16" s="107"/>
      <c r="B16" s="108"/>
      <c r="C16" s="90"/>
      <c r="D16" s="90"/>
      <c r="E16" s="90"/>
      <c r="F16" s="86" t="str">
        <f t="shared" si="0"/>
        <v>----</v>
      </c>
      <c r="L16" s="536"/>
      <c r="M16" s="536"/>
      <c r="N16" s="536"/>
      <c r="O16" s="536"/>
      <c r="P16" s="536"/>
      <c r="Q16" s="536"/>
    </row>
    <row r="17" spans="1:17">
      <c r="A17" s="107"/>
      <c r="B17" s="108"/>
      <c r="C17" s="90"/>
      <c r="D17" s="90"/>
      <c r="E17" s="90"/>
      <c r="F17" s="86" t="str">
        <f t="shared" si="0"/>
        <v>----</v>
      </c>
      <c r="L17" s="536"/>
      <c r="M17" s="536"/>
      <c r="N17" s="536"/>
      <c r="O17" s="536"/>
      <c r="P17" s="536"/>
      <c r="Q17" s="536"/>
    </row>
    <row r="18" spans="1:17">
      <c r="A18" s="107"/>
      <c r="B18" s="108"/>
      <c r="C18" s="90"/>
      <c r="D18" s="90"/>
      <c r="E18" s="90"/>
      <c r="F18" s="86" t="str">
        <f t="shared" si="0"/>
        <v>----</v>
      </c>
      <c r="L18" s="536"/>
      <c r="M18" s="536"/>
      <c r="N18" s="536"/>
      <c r="O18" s="536"/>
      <c r="P18" s="536"/>
      <c r="Q18" s="536"/>
    </row>
    <row r="19" spans="1:17">
      <c r="A19" s="107"/>
      <c r="B19" s="108"/>
      <c r="C19" s="90"/>
      <c r="D19" s="90"/>
      <c r="E19" s="90"/>
      <c r="F19" s="86" t="str">
        <f t="shared" si="0"/>
        <v>----</v>
      </c>
      <c r="L19" s="536"/>
      <c r="M19" s="536"/>
      <c r="N19" s="536"/>
      <c r="O19" s="536"/>
      <c r="P19" s="536"/>
      <c r="Q19" s="536"/>
    </row>
    <row r="20" spans="1:17">
      <c r="A20" s="107"/>
      <c r="B20" s="108"/>
      <c r="C20" s="90"/>
      <c r="D20" s="90"/>
      <c r="E20" s="90"/>
      <c r="F20" s="86" t="str">
        <f t="shared" si="0"/>
        <v>----</v>
      </c>
      <c r="L20" s="536"/>
      <c r="M20" s="536"/>
      <c r="N20" s="536"/>
      <c r="O20" s="536"/>
      <c r="P20" s="536"/>
      <c r="Q20" s="536"/>
    </row>
    <row r="21" spans="1:17">
      <c r="A21" s="123"/>
      <c r="B21" s="124"/>
      <c r="C21" s="125"/>
      <c r="D21" s="125"/>
      <c r="E21" s="125"/>
      <c r="F21" s="86" t="str">
        <f t="shared" si="0"/>
        <v>----</v>
      </c>
    </row>
    <row r="22" spans="1:17" ht="15.75" thickBot="1">
      <c r="A22" s="75"/>
      <c r="B22" s="76"/>
      <c r="C22" s="77"/>
      <c r="D22" s="77"/>
      <c r="E22" s="77"/>
      <c r="F22" s="86" t="str">
        <f t="shared" si="0"/>
        <v>----</v>
      </c>
    </row>
    <row r="23" spans="1:17" ht="15.75" thickBot="1">
      <c r="A23" s="28"/>
      <c r="B23" s="28"/>
      <c r="C23" s="29"/>
      <c r="D23" s="29"/>
      <c r="E23" s="29"/>
      <c r="F23" s="70">
        <f>SUM(F3:F22)</f>
        <v>106603.72800000003</v>
      </c>
    </row>
    <row r="24" spans="1:17">
      <c r="A24" s="17"/>
      <c r="B24" s="17"/>
      <c r="C24" s="20"/>
      <c r="D24" s="20"/>
      <c r="E24" s="20"/>
      <c r="F24" s="20"/>
    </row>
  </sheetData>
  <mergeCells count="2">
    <mergeCell ref="A1:F1"/>
    <mergeCell ref="L8:Q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F7"/>
  <sheetViews>
    <sheetView workbookViewId="0">
      <selection activeCell="A5" sqref="A5"/>
    </sheetView>
  </sheetViews>
  <sheetFormatPr defaultRowHeight="15"/>
  <cols>
    <col min="2" max="2" width="23.5703125" bestFit="1" customWidth="1"/>
    <col min="3" max="3" width="12" bestFit="1" customWidth="1"/>
    <col min="4" max="4" width="12.42578125" customWidth="1"/>
  </cols>
  <sheetData>
    <row r="1" spans="1:6" ht="15.75" thickBot="1">
      <c r="A1" s="530" t="s">
        <v>253</v>
      </c>
      <c r="B1" s="531"/>
      <c r="C1" s="531"/>
      <c r="D1" s="531"/>
      <c r="E1" s="531"/>
      <c r="F1" s="532"/>
    </row>
    <row r="2" spans="1:6" ht="69" thickBot="1">
      <c r="A2" s="25" t="s">
        <v>110</v>
      </c>
      <c r="B2" s="79" t="s">
        <v>111</v>
      </c>
      <c r="C2" s="80" t="s">
        <v>112</v>
      </c>
      <c r="D2" s="80" t="s">
        <v>247</v>
      </c>
      <c r="E2" s="80" t="s">
        <v>121</v>
      </c>
      <c r="F2" s="26" t="s">
        <v>113</v>
      </c>
    </row>
    <row r="3" spans="1:6">
      <c r="A3" s="71">
        <v>44124</v>
      </c>
      <c r="B3" s="72" t="s">
        <v>310</v>
      </c>
      <c r="C3" s="73">
        <v>2218553.4500000002</v>
      </c>
      <c r="D3" s="73">
        <v>1040762.54</v>
      </c>
      <c r="E3" s="73"/>
      <c r="F3" s="74" t="str">
        <f>IF(ISBLANK($E3),"----",$E3-$D3)</f>
        <v>----</v>
      </c>
    </row>
    <row r="4" spans="1:6">
      <c r="A4" s="91">
        <v>44334</v>
      </c>
      <c r="B4" s="106" t="s">
        <v>430</v>
      </c>
      <c r="C4" s="85">
        <v>481055.1</v>
      </c>
      <c r="D4" s="85">
        <f>C4</f>
        <v>481055.1</v>
      </c>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F21"/>
  <sheetViews>
    <sheetView workbookViewId="0">
      <selection activeCell="E6" sqref="E3:E6"/>
    </sheetView>
  </sheetViews>
  <sheetFormatPr defaultRowHeight="15"/>
  <cols>
    <col min="2" max="2" width="22.85546875" bestFit="1" customWidth="1"/>
    <col min="3" max="3" width="10.7109375" bestFit="1" customWidth="1"/>
    <col min="4" max="4" width="11.5703125" customWidth="1"/>
    <col min="5" max="5" width="11" customWidth="1"/>
    <col min="6" max="6" width="15.140625" customWidth="1"/>
  </cols>
  <sheetData>
    <row r="1" spans="1:6" ht="15.75" thickBot="1">
      <c r="A1" s="530" t="s">
        <v>176</v>
      </c>
      <c r="B1" s="531"/>
      <c r="C1" s="531"/>
      <c r="D1" s="531"/>
      <c r="E1" s="531"/>
      <c r="F1" s="532"/>
    </row>
    <row r="2" spans="1:6" ht="57.75" thickBot="1">
      <c r="A2" s="25" t="s">
        <v>110</v>
      </c>
      <c r="B2" s="79" t="s">
        <v>111</v>
      </c>
      <c r="C2" s="80" t="s">
        <v>112</v>
      </c>
      <c r="D2" s="80" t="s">
        <v>120</v>
      </c>
      <c r="E2" s="80" t="s">
        <v>121</v>
      </c>
      <c r="F2" s="26" t="s">
        <v>113</v>
      </c>
    </row>
    <row r="3" spans="1:6">
      <c r="A3" s="71">
        <v>43852</v>
      </c>
      <c r="B3" s="72" t="s">
        <v>208</v>
      </c>
      <c r="C3" s="73">
        <v>255991.95</v>
      </c>
      <c r="D3" s="73">
        <f>C3</f>
        <v>255991.95</v>
      </c>
      <c r="E3" s="73"/>
      <c r="F3" s="74" t="str">
        <f>IF(ISBLANK($E3),"----",$E3-$D3)</f>
        <v>----</v>
      </c>
    </row>
    <row r="4" spans="1:6">
      <c r="A4" s="94">
        <v>43879</v>
      </c>
      <c r="B4" s="95" t="s">
        <v>216</v>
      </c>
      <c r="C4" s="87">
        <v>293635</v>
      </c>
      <c r="D4" s="87">
        <f>C4</f>
        <v>293635</v>
      </c>
      <c r="E4" s="87">
        <v>282077.57</v>
      </c>
      <c r="F4" s="150">
        <f>IF(ISBLANK($E4),"----",$E4-$D4)</f>
        <v>-11557.429999999993</v>
      </c>
    </row>
    <row r="5" spans="1:6">
      <c r="A5" s="107">
        <v>44580</v>
      </c>
      <c r="B5" s="108" t="s">
        <v>493</v>
      </c>
      <c r="C5" s="90">
        <v>883349.55</v>
      </c>
      <c r="D5" s="90">
        <v>549153.77</v>
      </c>
      <c r="E5" s="90"/>
      <c r="F5" s="150" t="str">
        <f t="shared" ref="F5:F19" si="0">IF(ISBLANK($E5),"----",$E5-$D5)</f>
        <v>----</v>
      </c>
    </row>
    <row r="6" spans="1:6">
      <c r="A6" s="107">
        <v>44880</v>
      </c>
      <c r="B6" s="108" t="s">
        <v>594</v>
      </c>
      <c r="C6" s="90">
        <v>415576</v>
      </c>
      <c r="D6" s="90">
        <f>C6</f>
        <v>415576</v>
      </c>
      <c r="E6" s="90">
        <v>413531.99</v>
      </c>
      <c r="F6" s="150">
        <f t="shared" si="0"/>
        <v>-2044.0100000000093</v>
      </c>
    </row>
    <row r="7" spans="1:6">
      <c r="A7" s="107"/>
      <c r="B7" s="108"/>
      <c r="C7" s="90"/>
      <c r="D7" s="90"/>
      <c r="E7" s="90"/>
      <c r="F7" s="150" t="str">
        <f t="shared" si="0"/>
        <v>----</v>
      </c>
    </row>
    <row r="8" spans="1:6">
      <c r="A8" s="107"/>
      <c r="B8" s="108"/>
      <c r="C8" s="90"/>
      <c r="D8" s="90"/>
      <c r="E8" s="90"/>
      <c r="F8" s="150" t="str">
        <f t="shared" si="0"/>
        <v>----</v>
      </c>
    </row>
    <row r="9" spans="1:6">
      <c r="A9" s="107"/>
      <c r="B9" s="108"/>
      <c r="C9" s="90"/>
      <c r="D9" s="90"/>
      <c r="E9" s="90"/>
      <c r="F9" s="150" t="str">
        <f t="shared" si="0"/>
        <v>----</v>
      </c>
    </row>
    <row r="10" spans="1:6">
      <c r="A10" s="107"/>
      <c r="B10" s="108"/>
      <c r="C10" s="90"/>
      <c r="D10" s="90"/>
      <c r="E10" s="90"/>
      <c r="F10" s="150" t="str">
        <f t="shared" si="0"/>
        <v>----</v>
      </c>
    </row>
    <row r="11" spans="1:6">
      <c r="A11" s="107"/>
      <c r="B11" s="108"/>
      <c r="C11" s="90"/>
      <c r="D11" s="90"/>
      <c r="E11" s="90"/>
      <c r="F11" s="150" t="str">
        <f t="shared" si="0"/>
        <v>----</v>
      </c>
    </row>
    <row r="12" spans="1:6">
      <c r="A12" s="107"/>
      <c r="B12" s="108"/>
      <c r="C12" s="90"/>
      <c r="D12" s="90"/>
      <c r="E12" s="90"/>
      <c r="F12" s="150" t="str">
        <f t="shared" si="0"/>
        <v>----</v>
      </c>
    </row>
    <row r="13" spans="1:6">
      <c r="A13" s="107"/>
      <c r="B13" s="108"/>
      <c r="C13" s="90"/>
      <c r="D13" s="90"/>
      <c r="E13" s="90"/>
      <c r="F13" s="150" t="str">
        <f t="shared" si="0"/>
        <v>----</v>
      </c>
    </row>
    <row r="14" spans="1:6">
      <c r="A14" s="107"/>
      <c r="B14" s="108"/>
      <c r="C14" s="90"/>
      <c r="D14" s="90"/>
      <c r="E14" s="90"/>
      <c r="F14" s="150" t="str">
        <f t="shared" si="0"/>
        <v>----</v>
      </c>
    </row>
    <row r="15" spans="1:6">
      <c r="A15" s="107"/>
      <c r="B15" s="108"/>
      <c r="C15" s="90"/>
      <c r="D15" s="90"/>
      <c r="E15" s="90"/>
      <c r="F15" s="150" t="str">
        <f t="shared" si="0"/>
        <v>----</v>
      </c>
    </row>
    <row r="16" spans="1:6">
      <c r="A16" s="107"/>
      <c r="B16" s="108"/>
      <c r="C16" s="90"/>
      <c r="D16" s="90"/>
      <c r="E16" s="90"/>
      <c r="F16" s="150" t="str">
        <f t="shared" si="0"/>
        <v>----</v>
      </c>
    </row>
    <row r="17" spans="1:6">
      <c r="A17" s="107"/>
      <c r="B17" s="108"/>
      <c r="C17" s="90"/>
      <c r="D17" s="90"/>
      <c r="E17" s="90"/>
      <c r="F17" s="150" t="str">
        <f t="shared" si="0"/>
        <v>----</v>
      </c>
    </row>
    <row r="18" spans="1:6">
      <c r="A18" s="107"/>
      <c r="B18" s="108"/>
      <c r="C18" s="90"/>
      <c r="D18" s="90"/>
      <c r="E18" s="90"/>
      <c r="F18" s="150" t="str">
        <f t="shared" si="0"/>
        <v>----</v>
      </c>
    </row>
    <row r="19" spans="1:6">
      <c r="A19" s="123"/>
      <c r="B19" s="124"/>
      <c r="C19" s="125"/>
      <c r="D19" s="125"/>
      <c r="E19" s="125"/>
      <c r="F19" s="150" t="str">
        <f t="shared" si="0"/>
        <v>----</v>
      </c>
    </row>
    <row r="20" spans="1:6" ht="15.75" thickBot="1">
      <c r="A20" s="75"/>
      <c r="B20" s="76"/>
      <c r="C20" s="77"/>
      <c r="D20" s="77"/>
      <c r="E20" s="77"/>
      <c r="F20" s="78" t="str">
        <f>IF(ISBLANK($E20),"----",$E20-$D20)</f>
        <v>----</v>
      </c>
    </row>
    <row r="21" spans="1:6" ht="15.75" thickBot="1">
      <c r="A21" s="28"/>
      <c r="B21" s="28"/>
      <c r="C21" s="29"/>
      <c r="D21" s="29"/>
      <c r="E21" s="29"/>
      <c r="F21" s="70">
        <f>SUM(F3:F20)</f>
        <v>-13601.440000000002</v>
      </c>
    </row>
  </sheetData>
  <mergeCells count="1">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F23"/>
  <sheetViews>
    <sheetView workbookViewId="0">
      <selection activeCell="E4" sqref="E4"/>
    </sheetView>
  </sheetViews>
  <sheetFormatPr defaultRowHeight="15"/>
  <cols>
    <col min="2" max="2" width="23.5703125" bestFit="1" customWidth="1"/>
    <col min="3" max="4" width="10.7109375" bestFit="1" customWidth="1"/>
    <col min="5" max="5" width="10.140625" bestFit="1" customWidth="1"/>
    <col min="6" max="6" width="9.42578125" bestFit="1" customWidth="1"/>
  </cols>
  <sheetData>
    <row r="1" spans="1:6" ht="15.75" thickBot="1">
      <c r="A1" s="530" t="s">
        <v>254</v>
      </c>
      <c r="B1" s="531"/>
      <c r="C1" s="531"/>
      <c r="D1" s="531"/>
      <c r="E1" s="531"/>
      <c r="F1" s="532"/>
    </row>
    <row r="2" spans="1:6" ht="57.75" thickBot="1">
      <c r="A2" s="25" t="s">
        <v>110</v>
      </c>
      <c r="B2" s="79" t="s">
        <v>111</v>
      </c>
      <c r="C2" s="80" t="s">
        <v>112</v>
      </c>
      <c r="D2" s="80" t="s">
        <v>120</v>
      </c>
      <c r="E2" s="80" t="s">
        <v>121</v>
      </c>
      <c r="F2" s="26" t="s">
        <v>113</v>
      </c>
    </row>
    <row r="3" spans="1:6">
      <c r="A3" s="71">
        <v>44334</v>
      </c>
      <c r="B3" s="72" t="s">
        <v>431</v>
      </c>
      <c r="C3" s="73">
        <v>587812.59</v>
      </c>
      <c r="D3" s="73">
        <f>C3</f>
        <v>587812.59</v>
      </c>
      <c r="E3" s="73"/>
      <c r="F3" s="74" t="str">
        <f>IF(ISBLANK($E3),"----",$E3-$D3)</f>
        <v>----</v>
      </c>
    </row>
    <row r="4" spans="1:6">
      <c r="A4" s="91">
        <v>44397</v>
      </c>
      <c r="B4" s="106" t="s">
        <v>441</v>
      </c>
      <c r="C4" s="85">
        <v>172277.9</v>
      </c>
      <c r="D4" s="85">
        <f>C4</f>
        <v>172277.9</v>
      </c>
      <c r="E4" s="85">
        <v>224668.51</v>
      </c>
      <c r="F4" s="86">
        <f>IF(ISBLANK($E4),"----",$E4-$D4)</f>
        <v>52390.610000000015</v>
      </c>
    </row>
    <row r="5" spans="1:6">
      <c r="A5" s="91"/>
      <c r="B5" s="106"/>
      <c r="C5" s="85"/>
      <c r="D5" s="85"/>
      <c r="E5" s="85"/>
      <c r="F5" s="86" t="str">
        <f t="shared" ref="F5:F21" si="0">IF(ISBLANK($E5),"----",$E5-$D5)</f>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 t="shared" si="0"/>
        <v>----</v>
      </c>
    </row>
    <row r="19" spans="1:6">
      <c r="A19" s="91"/>
      <c r="B19" s="106"/>
      <c r="C19" s="85"/>
      <c r="D19" s="85"/>
      <c r="E19" s="85"/>
      <c r="F19" s="86" t="str">
        <f t="shared" si="0"/>
        <v>----</v>
      </c>
    </row>
    <row r="20" spans="1:6">
      <c r="A20" s="91"/>
      <c r="B20" s="106"/>
      <c r="C20" s="85"/>
      <c r="D20" s="85"/>
      <c r="E20" s="85"/>
      <c r="F20" s="86" t="str">
        <f t="shared" si="0"/>
        <v>----</v>
      </c>
    </row>
    <row r="21" spans="1:6">
      <c r="A21" s="91"/>
      <c r="B21" s="106"/>
      <c r="C21" s="85"/>
      <c r="D21" s="85"/>
      <c r="E21" s="85"/>
      <c r="F21" s="86" t="str">
        <f t="shared" si="0"/>
        <v>----</v>
      </c>
    </row>
    <row r="22" spans="1:6" ht="15.75" thickBot="1">
      <c r="A22" s="75"/>
      <c r="B22" s="76"/>
      <c r="C22" s="77"/>
      <c r="D22" s="77"/>
      <c r="E22" s="77"/>
      <c r="F22" s="78" t="str">
        <f>IF(ISBLANK($E22),"----",$E22-$D22)</f>
        <v>----</v>
      </c>
    </row>
    <row r="23" spans="1:6" ht="15.75" thickBot="1">
      <c r="A23" s="28"/>
      <c r="B23" s="28"/>
      <c r="C23" s="29"/>
      <c r="D23" s="29"/>
      <c r="E23" s="29"/>
      <c r="F23" s="70">
        <f>SUM(F3:F22)</f>
        <v>52390.610000000015</v>
      </c>
    </row>
  </sheetData>
  <mergeCells count="1">
    <mergeCell ref="A1:F1"/>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F22"/>
  <sheetViews>
    <sheetView workbookViewId="0">
      <selection activeCell="E3" sqref="E3:E4"/>
    </sheetView>
  </sheetViews>
  <sheetFormatPr defaultRowHeight="15"/>
  <cols>
    <col min="2" max="2" width="23.7109375" bestFit="1" customWidth="1"/>
    <col min="3" max="3" width="12" bestFit="1" customWidth="1"/>
    <col min="4" max="4" width="12.5703125" customWidth="1"/>
    <col min="5" max="6" width="12" customWidth="1"/>
  </cols>
  <sheetData>
    <row r="1" spans="1:6" ht="15.75" thickBot="1">
      <c r="A1" s="530" t="s">
        <v>177</v>
      </c>
      <c r="B1" s="531"/>
      <c r="C1" s="531"/>
      <c r="D1" s="531"/>
      <c r="E1" s="531"/>
      <c r="F1" s="532"/>
    </row>
    <row r="2" spans="1:6" ht="57.75" thickBot="1">
      <c r="A2" s="25" t="s">
        <v>110</v>
      </c>
      <c r="B2" s="79" t="s">
        <v>111</v>
      </c>
      <c r="C2" s="80" t="s">
        <v>112</v>
      </c>
      <c r="D2" s="80" t="s">
        <v>120</v>
      </c>
      <c r="E2" s="80" t="s">
        <v>121</v>
      </c>
      <c r="F2" s="26" t="s">
        <v>113</v>
      </c>
    </row>
    <row r="3" spans="1:6">
      <c r="A3" s="71">
        <v>43852</v>
      </c>
      <c r="B3" s="72" t="s">
        <v>207</v>
      </c>
      <c r="C3" s="73">
        <v>493525.27</v>
      </c>
      <c r="D3" s="73">
        <f>C3</f>
        <v>493525.27</v>
      </c>
      <c r="E3" s="73">
        <v>511491.38</v>
      </c>
      <c r="F3" s="74">
        <f>IF(ISBLANK($E3),"----",$E3-$D3)</f>
        <v>17966.109999999986</v>
      </c>
    </row>
    <row r="4" spans="1:6">
      <c r="A4" s="91">
        <v>44580</v>
      </c>
      <c r="B4" s="106" t="s">
        <v>494</v>
      </c>
      <c r="C4" s="85">
        <v>517207.2</v>
      </c>
      <c r="D4" s="85">
        <f>C4</f>
        <v>517207.2</v>
      </c>
      <c r="E4" s="85">
        <v>499497.7</v>
      </c>
      <c r="F4" s="126">
        <f t="shared" ref="F4:F19" si="0">IF(ISBLANK($E4),"----",$E4-$D4)</f>
        <v>-17709.5</v>
      </c>
    </row>
    <row r="5" spans="1:6">
      <c r="A5" s="107">
        <v>44944</v>
      </c>
      <c r="B5" s="108" t="s">
        <v>647</v>
      </c>
      <c r="C5" s="90">
        <v>1158234.6499999999</v>
      </c>
      <c r="D5" s="90">
        <f>C5</f>
        <v>1158234.6499999999</v>
      </c>
      <c r="E5" s="90"/>
      <c r="F5" s="126" t="str">
        <f t="shared" si="0"/>
        <v>----</v>
      </c>
    </row>
    <row r="6" spans="1:6">
      <c r="A6" s="107"/>
      <c r="B6" s="108"/>
      <c r="C6" s="90"/>
      <c r="D6" s="90"/>
      <c r="E6" s="90"/>
      <c r="F6" s="126" t="str">
        <f t="shared" si="0"/>
        <v>----</v>
      </c>
    </row>
    <row r="7" spans="1:6">
      <c r="A7" s="107"/>
      <c r="B7" s="108"/>
      <c r="C7" s="90"/>
      <c r="D7" s="90"/>
      <c r="E7" s="90"/>
      <c r="F7" s="126" t="str">
        <f t="shared" si="0"/>
        <v>----</v>
      </c>
    </row>
    <row r="8" spans="1:6">
      <c r="A8" s="107"/>
      <c r="B8" s="108"/>
      <c r="C8" s="90"/>
      <c r="D8" s="90"/>
      <c r="E8" s="90"/>
      <c r="F8" s="126" t="str">
        <f t="shared" si="0"/>
        <v>----</v>
      </c>
    </row>
    <row r="9" spans="1:6">
      <c r="A9" s="107"/>
      <c r="B9" s="108"/>
      <c r="C9" s="90"/>
      <c r="D9" s="90"/>
      <c r="E9" s="90"/>
      <c r="F9" s="126" t="str">
        <f t="shared" si="0"/>
        <v>----</v>
      </c>
    </row>
    <row r="10" spans="1:6">
      <c r="A10" s="107"/>
      <c r="B10" s="108"/>
      <c r="C10" s="90"/>
      <c r="D10" s="90"/>
      <c r="E10" s="90"/>
      <c r="F10" s="126" t="str">
        <f t="shared" si="0"/>
        <v>----</v>
      </c>
    </row>
    <row r="11" spans="1:6">
      <c r="A11" s="107"/>
      <c r="B11" s="108"/>
      <c r="C11" s="90"/>
      <c r="D11" s="90"/>
      <c r="E11" s="90"/>
      <c r="F11" s="126" t="str">
        <f t="shared" si="0"/>
        <v>----</v>
      </c>
    </row>
    <row r="12" spans="1:6">
      <c r="A12" s="107"/>
      <c r="B12" s="108"/>
      <c r="C12" s="90"/>
      <c r="D12" s="90"/>
      <c r="E12" s="90"/>
      <c r="F12" s="126" t="str">
        <f t="shared" si="0"/>
        <v>----</v>
      </c>
    </row>
    <row r="13" spans="1:6">
      <c r="A13" s="107"/>
      <c r="B13" s="108"/>
      <c r="C13" s="90"/>
      <c r="D13" s="90"/>
      <c r="E13" s="90"/>
      <c r="F13" s="126" t="str">
        <f t="shared" si="0"/>
        <v>----</v>
      </c>
    </row>
    <row r="14" spans="1:6">
      <c r="A14" s="107"/>
      <c r="B14" s="108"/>
      <c r="C14" s="90"/>
      <c r="D14" s="90"/>
      <c r="E14" s="90"/>
      <c r="F14" s="126" t="str">
        <f t="shared" si="0"/>
        <v>----</v>
      </c>
    </row>
    <row r="15" spans="1:6">
      <c r="A15" s="107"/>
      <c r="B15" s="108"/>
      <c r="C15" s="90"/>
      <c r="D15" s="90"/>
      <c r="E15" s="90"/>
      <c r="F15" s="126" t="str">
        <f t="shared" si="0"/>
        <v>----</v>
      </c>
    </row>
    <row r="16" spans="1:6">
      <c r="A16" s="107"/>
      <c r="B16" s="108"/>
      <c r="C16" s="90"/>
      <c r="D16" s="90"/>
      <c r="E16" s="90"/>
      <c r="F16" s="126" t="str">
        <f t="shared" si="0"/>
        <v>----</v>
      </c>
    </row>
    <row r="17" spans="1:6">
      <c r="A17" s="107"/>
      <c r="B17" s="108"/>
      <c r="C17" s="90"/>
      <c r="D17" s="90"/>
      <c r="E17" s="90"/>
      <c r="F17" s="126" t="str">
        <f t="shared" si="0"/>
        <v>----</v>
      </c>
    </row>
    <row r="18" spans="1:6">
      <c r="A18" s="107"/>
      <c r="B18" s="108"/>
      <c r="C18" s="90"/>
      <c r="D18" s="90"/>
      <c r="E18" s="90"/>
      <c r="F18" s="126" t="str">
        <f t="shared" si="0"/>
        <v>----</v>
      </c>
    </row>
    <row r="19" spans="1:6">
      <c r="A19" s="107"/>
      <c r="B19" s="108"/>
      <c r="C19" s="90"/>
      <c r="D19" s="90"/>
      <c r="E19" s="90"/>
      <c r="F19" s="126" t="str">
        <f t="shared" si="0"/>
        <v>----</v>
      </c>
    </row>
    <row r="20" spans="1:6">
      <c r="A20" s="123"/>
      <c r="B20" s="124"/>
      <c r="C20" s="125"/>
      <c r="D20" s="125"/>
      <c r="E20" s="125"/>
      <c r="F20" s="126" t="str">
        <f>IF(ISBLANK($E20),"----",$E20-$D20)</f>
        <v>----</v>
      </c>
    </row>
    <row r="21" spans="1:6" ht="15.75" thickBot="1">
      <c r="A21" s="75"/>
      <c r="B21" s="76"/>
      <c r="C21" s="77"/>
      <c r="D21" s="77"/>
      <c r="E21" s="77"/>
      <c r="F21" s="78" t="str">
        <f>IF(ISBLANK($E21),"----",$E21-$D21)</f>
        <v>----</v>
      </c>
    </row>
    <row r="22" spans="1:6" ht="15.75" thickBot="1">
      <c r="A22" s="28"/>
      <c r="B22" s="28"/>
      <c r="C22" s="29"/>
      <c r="D22" s="29"/>
      <c r="E22" s="29"/>
      <c r="F22" s="70">
        <f>SUM(F3:F21)</f>
        <v>256.60999999998603</v>
      </c>
    </row>
  </sheetData>
  <mergeCells count="1">
    <mergeCell ref="A1:F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F21"/>
  <sheetViews>
    <sheetView workbookViewId="0">
      <selection activeCell="D6" sqref="D6"/>
    </sheetView>
  </sheetViews>
  <sheetFormatPr defaultRowHeight="15"/>
  <cols>
    <col min="2" max="2" width="22.85546875" bestFit="1" customWidth="1"/>
    <col min="3" max="4" width="10.7109375" bestFit="1" customWidth="1"/>
  </cols>
  <sheetData>
    <row r="1" spans="1:6" ht="15.75" thickBot="1">
      <c r="A1" s="530" t="s">
        <v>255</v>
      </c>
      <c r="B1" s="531"/>
      <c r="C1" s="531"/>
      <c r="D1" s="531"/>
      <c r="E1" s="531"/>
      <c r="F1" s="532"/>
    </row>
    <row r="2" spans="1:6" ht="69" thickBot="1">
      <c r="A2" s="25" t="s">
        <v>110</v>
      </c>
      <c r="B2" s="79" t="s">
        <v>111</v>
      </c>
      <c r="C2" s="80" t="s">
        <v>112</v>
      </c>
      <c r="D2" s="80" t="s">
        <v>120</v>
      </c>
      <c r="E2" s="80" t="s">
        <v>121</v>
      </c>
      <c r="F2" s="26" t="s">
        <v>113</v>
      </c>
    </row>
    <row r="3" spans="1:6">
      <c r="A3" s="71">
        <v>44460</v>
      </c>
      <c r="B3" s="72" t="s">
        <v>455</v>
      </c>
      <c r="C3" s="73">
        <v>649012.47999999998</v>
      </c>
      <c r="D3" s="73">
        <v>403222.48</v>
      </c>
      <c r="E3" s="73"/>
      <c r="F3" s="74" t="str">
        <f>IF(ISBLANK($E3),"----",$E3-$D3)</f>
        <v>----</v>
      </c>
    </row>
    <row r="4" spans="1:6">
      <c r="A4" s="91">
        <v>44607</v>
      </c>
      <c r="B4" s="106" t="s">
        <v>511</v>
      </c>
      <c r="C4" s="85">
        <v>544017.65</v>
      </c>
      <c r="D4" s="85">
        <v>435214.12</v>
      </c>
      <c r="E4" s="85"/>
      <c r="F4" s="86" t="str">
        <f t="shared" ref="F4:F17" si="0">IF(ISBLANK($E4),"----",$E4-$D4)</f>
        <v>----</v>
      </c>
    </row>
    <row r="5" spans="1:6">
      <c r="A5" s="91">
        <v>44670</v>
      </c>
      <c r="B5" s="106" t="s">
        <v>519</v>
      </c>
      <c r="C5" s="85">
        <v>687220.2</v>
      </c>
      <c r="D5" s="85">
        <f>C5</f>
        <v>687220.2</v>
      </c>
      <c r="E5" s="85"/>
      <c r="F5" s="86" t="str">
        <f t="shared" si="0"/>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IF(ISBLANK($E18),"----",$E18-$D18)</f>
        <v>----</v>
      </c>
    </row>
    <row r="19" spans="1:6">
      <c r="A19" s="94"/>
      <c r="B19" s="95"/>
      <c r="C19" s="87"/>
      <c r="D19" s="87"/>
      <c r="E19" s="87"/>
      <c r="F19" s="88" t="str">
        <f>IF(ISBLANK($E19),"----",$E19-$D19)</f>
        <v>----</v>
      </c>
    </row>
    <row r="20" spans="1:6" ht="15.75" thickBot="1">
      <c r="A20" s="75"/>
      <c r="B20" s="76"/>
      <c r="C20" s="77"/>
      <c r="D20" s="77"/>
      <c r="E20" s="77"/>
      <c r="F20" s="78" t="str">
        <f>IF(ISBLANK($E20),"----",$E20-$D20)</f>
        <v>----</v>
      </c>
    </row>
    <row r="21" spans="1:6" ht="15.75" thickBot="1">
      <c r="A21" s="28"/>
      <c r="B21" s="28"/>
      <c r="C21" s="29"/>
      <c r="D21" s="29"/>
      <c r="E21" s="29"/>
      <c r="F21" s="70">
        <f>SUM(F3:F20)</f>
        <v>0</v>
      </c>
    </row>
  </sheetData>
  <mergeCells count="1">
    <mergeCell ref="A1:F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G21"/>
  <sheetViews>
    <sheetView workbookViewId="0">
      <selection activeCell="E6" sqref="E3:E6"/>
    </sheetView>
  </sheetViews>
  <sheetFormatPr defaultRowHeight="15"/>
  <cols>
    <col min="2" max="2" width="23.7109375" bestFit="1" customWidth="1"/>
    <col min="3" max="3" width="10.7109375" bestFit="1" customWidth="1"/>
    <col min="4" max="4" width="12" customWidth="1"/>
    <col min="5" max="5" width="11" customWidth="1"/>
    <col min="6" max="6" width="12" customWidth="1"/>
  </cols>
  <sheetData>
    <row r="1" spans="1:7" ht="15.75" thickBot="1">
      <c r="A1" s="530" t="s">
        <v>178</v>
      </c>
      <c r="B1" s="531"/>
      <c r="C1" s="531"/>
      <c r="D1" s="531"/>
      <c r="E1" s="531"/>
      <c r="F1" s="532"/>
    </row>
    <row r="2" spans="1:7" ht="57.75" thickBot="1">
      <c r="A2" s="25" t="s">
        <v>110</v>
      </c>
      <c r="B2" s="79" t="s">
        <v>111</v>
      </c>
      <c r="C2" s="80" t="s">
        <v>112</v>
      </c>
      <c r="D2" s="80" t="s">
        <v>120</v>
      </c>
      <c r="E2" s="80" t="s">
        <v>121</v>
      </c>
      <c r="F2" s="26" t="s">
        <v>113</v>
      </c>
    </row>
    <row r="3" spans="1:7">
      <c r="A3" s="71">
        <v>43852</v>
      </c>
      <c r="B3" s="72" t="s">
        <v>205</v>
      </c>
      <c r="C3" s="73">
        <v>687124.43</v>
      </c>
      <c r="D3" s="73">
        <f>C3</f>
        <v>687124.43</v>
      </c>
      <c r="E3" s="73">
        <v>682969.58</v>
      </c>
      <c r="F3" s="74">
        <f t="shared" ref="F3:F20" si="0">IF(ISBLANK($E3),"----",$E3-$D3)</f>
        <v>-4154.8500000000931</v>
      </c>
    </row>
    <row r="4" spans="1:7">
      <c r="A4" s="94">
        <v>43852</v>
      </c>
      <c r="B4" s="95" t="s">
        <v>206</v>
      </c>
      <c r="C4" s="87">
        <v>229395.45</v>
      </c>
      <c r="D4" s="87">
        <f>C4</f>
        <v>229395.45</v>
      </c>
      <c r="E4" s="87">
        <v>228968.7</v>
      </c>
      <c r="F4" s="86">
        <f t="shared" si="0"/>
        <v>-426.75</v>
      </c>
    </row>
    <row r="5" spans="1:7">
      <c r="A5" s="107">
        <v>44089</v>
      </c>
      <c r="B5" s="108" t="s">
        <v>625</v>
      </c>
      <c r="C5" s="90">
        <v>544621.5</v>
      </c>
      <c r="D5" s="90">
        <f>C5</f>
        <v>544621.5</v>
      </c>
      <c r="E5" s="90">
        <v>537900.15</v>
      </c>
      <c r="F5" s="86">
        <f t="shared" si="0"/>
        <v>-6721.3499999999767</v>
      </c>
    </row>
    <row r="6" spans="1:7">
      <c r="A6" s="350">
        <v>44915</v>
      </c>
      <c r="B6" s="351" t="s">
        <v>624</v>
      </c>
      <c r="C6" s="352">
        <v>998456.75</v>
      </c>
      <c r="D6" s="352">
        <f>C6</f>
        <v>998456.75</v>
      </c>
      <c r="E6" s="352"/>
      <c r="F6" s="353" t="str">
        <f t="shared" si="0"/>
        <v>----</v>
      </c>
      <c r="G6" s="354" t="s">
        <v>148</v>
      </c>
    </row>
    <row r="7" spans="1:7">
      <c r="A7" s="107"/>
      <c r="B7" s="108"/>
      <c r="C7" s="90"/>
      <c r="D7" s="90"/>
      <c r="E7" s="90"/>
      <c r="F7" s="86" t="str">
        <f t="shared" si="0"/>
        <v>----</v>
      </c>
    </row>
    <row r="8" spans="1:7">
      <c r="A8" s="107"/>
      <c r="B8" s="108"/>
      <c r="C8" s="90"/>
      <c r="D8" s="90"/>
      <c r="E8" s="90"/>
      <c r="F8" s="86" t="str">
        <f t="shared" si="0"/>
        <v>----</v>
      </c>
    </row>
    <row r="9" spans="1:7">
      <c r="A9" s="107"/>
      <c r="B9" s="108"/>
      <c r="C9" s="90"/>
      <c r="D9" s="90"/>
      <c r="E9" s="90"/>
      <c r="F9" s="86" t="str">
        <f t="shared" si="0"/>
        <v>----</v>
      </c>
    </row>
    <row r="10" spans="1:7">
      <c r="A10" s="107"/>
      <c r="B10" s="108"/>
      <c r="C10" s="90"/>
      <c r="D10" s="90"/>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ht="15.75" thickBot="1">
      <c r="A20" s="75"/>
      <c r="B20" s="76"/>
      <c r="C20" s="77"/>
      <c r="D20" s="77"/>
      <c r="E20" s="77"/>
      <c r="F20" s="78" t="str">
        <f t="shared" si="0"/>
        <v>----</v>
      </c>
    </row>
    <row r="21" spans="1:6" ht="15.75" thickBot="1">
      <c r="A21" s="28"/>
      <c r="B21" s="28"/>
      <c r="C21" s="29"/>
      <c r="D21" s="29"/>
      <c r="E21" s="29"/>
      <c r="F21" s="70">
        <f>SUM(F3:F20)</f>
        <v>-11302.95000000007</v>
      </c>
    </row>
  </sheetData>
  <mergeCells count="1">
    <mergeCell ref="A1:F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G26"/>
  <sheetViews>
    <sheetView workbookViewId="0">
      <selection activeCell="E6" sqref="E4:E6"/>
    </sheetView>
  </sheetViews>
  <sheetFormatPr defaultRowHeight="15"/>
  <cols>
    <col min="2" max="2" width="22.85546875" bestFit="1" customWidth="1"/>
    <col min="3" max="3" width="12" bestFit="1" customWidth="1"/>
    <col min="4" max="4" width="12" customWidth="1"/>
    <col min="5" max="5" width="10.140625" bestFit="1" customWidth="1"/>
    <col min="6" max="6" width="15" customWidth="1"/>
  </cols>
  <sheetData>
    <row r="1" spans="1:7" ht="15.75" thickBot="1">
      <c r="A1" s="530" t="s">
        <v>179</v>
      </c>
      <c r="B1" s="531"/>
      <c r="C1" s="531"/>
      <c r="D1" s="531"/>
      <c r="E1" s="531"/>
      <c r="F1" s="532"/>
    </row>
    <row r="2" spans="1:7" ht="57.75" thickBot="1">
      <c r="A2" s="25" t="s">
        <v>110</v>
      </c>
      <c r="B2" s="79" t="s">
        <v>111</v>
      </c>
      <c r="C2" s="80" t="s">
        <v>112</v>
      </c>
      <c r="D2" s="80" t="s">
        <v>120</v>
      </c>
      <c r="E2" s="80" t="s">
        <v>121</v>
      </c>
      <c r="F2" s="26" t="s">
        <v>113</v>
      </c>
    </row>
    <row r="3" spans="1:7">
      <c r="A3" s="71">
        <v>43852</v>
      </c>
      <c r="B3" s="280" t="s">
        <v>202</v>
      </c>
      <c r="C3" s="73">
        <v>1184493.3999999999</v>
      </c>
      <c r="D3" s="73">
        <v>236898.68</v>
      </c>
      <c r="E3" s="73"/>
      <c r="F3" s="74" t="str">
        <f>IF(ISBLANK($E3),"----",$E3-$D3)</f>
        <v>----</v>
      </c>
      <c r="G3" t="s">
        <v>204</v>
      </c>
    </row>
    <row r="4" spans="1:7">
      <c r="A4" s="94">
        <v>43852</v>
      </c>
      <c r="B4" s="283" t="s">
        <v>203</v>
      </c>
      <c r="C4" s="87">
        <v>575252.1</v>
      </c>
      <c r="D4" s="87">
        <f>C4</f>
        <v>575252.1</v>
      </c>
      <c r="E4" s="87">
        <v>588052.5</v>
      </c>
      <c r="F4" s="88">
        <f>IF(ISBLANK($E4),"----",$E4-$D4)</f>
        <v>12800.400000000023</v>
      </c>
    </row>
    <row r="5" spans="1:7">
      <c r="A5" s="107">
        <v>44551</v>
      </c>
      <c r="B5" s="279" t="s">
        <v>483</v>
      </c>
      <c r="C5" s="90">
        <v>274210.65000000002</v>
      </c>
      <c r="D5" s="90">
        <f>C5</f>
        <v>274210.65000000002</v>
      </c>
      <c r="E5" s="90">
        <v>270878.15000000002</v>
      </c>
      <c r="F5" s="122">
        <f t="shared" ref="F5:F24" si="0">IF(ISBLANK($E5),"----",$E5-$D5)</f>
        <v>-3332.5</v>
      </c>
    </row>
    <row r="6" spans="1:7">
      <c r="A6" s="107">
        <v>44551</v>
      </c>
      <c r="B6" s="279" t="s">
        <v>484</v>
      </c>
      <c r="C6" s="90">
        <v>268305.05</v>
      </c>
      <c r="D6" s="90">
        <f>C6</f>
        <v>268305.05</v>
      </c>
      <c r="E6" s="90">
        <v>263971.55</v>
      </c>
      <c r="F6" s="122">
        <f t="shared" si="0"/>
        <v>-4333.5</v>
      </c>
    </row>
    <row r="7" spans="1:7">
      <c r="A7" s="107">
        <v>44880</v>
      </c>
      <c r="B7" s="279" t="s">
        <v>595</v>
      </c>
      <c r="C7" s="90">
        <v>943792.4</v>
      </c>
      <c r="D7" s="90">
        <f>C7</f>
        <v>943792.4</v>
      </c>
      <c r="E7" s="90"/>
      <c r="F7" s="122" t="str">
        <f t="shared" si="0"/>
        <v>----</v>
      </c>
    </row>
    <row r="8" spans="1:7">
      <c r="A8" s="107">
        <v>44915</v>
      </c>
      <c r="B8" s="279" t="s">
        <v>626</v>
      </c>
      <c r="C8" s="90">
        <v>530035</v>
      </c>
      <c r="D8" s="90">
        <f>106007+424028</f>
        <v>530035</v>
      </c>
      <c r="E8" s="90"/>
      <c r="F8" s="122" t="str">
        <f t="shared" si="0"/>
        <v>----</v>
      </c>
    </row>
    <row r="9" spans="1:7">
      <c r="A9" s="107"/>
      <c r="B9" s="279"/>
      <c r="C9" s="90"/>
      <c r="D9" s="90"/>
      <c r="E9" s="90"/>
      <c r="F9" s="122" t="str">
        <f t="shared" si="0"/>
        <v>----</v>
      </c>
    </row>
    <row r="10" spans="1:7">
      <c r="A10" s="107"/>
      <c r="B10" s="279"/>
      <c r="C10" s="90"/>
      <c r="D10" s="90"/>
      <c r="E10" s="90"/>
      <c r="F10" s="122" t="str">
        <f t="shared" si="0"/>
        <v>----</v>
      </c>
    </row>
    <row r="11" spans="1:7">
      <c r="A11" s="107"/>
      <c r="B11" s="279"/>
      <c r="C11" s="90"/>
      <c r="D11" s="90"/>
      <c r="E11" s="90"/>
      <c r="F11" s="122" t="str">
        <f t="shared" si="0"/>
        <v>----</v>
      </c>
    </row>
    <row r="12" spans="1:7">
      <c r="A12" s="107"/>
      <c r="B12" s="279"/>
      <c r="C12" s="90"/>
      <c r="D12" s="90"/>
      <c r="E12" s="90"/>
      <c r="F12" s="122" t="str">
        <f t="shared" si="0"/>
        <v>----</v>
      </c>
    </row>
    <row r="13" spans="1:7">
      <c r="A13" s="107"/>
      <c r="B13" s="279"/>
      <c r="C13" s="90"/>
      <c r="D13" s="90"/>
      <c r="E13" s="90"/>
      <c r="F13" s="122" t="str">
        <f t="shared" si="0"/>
        <v>----</v>
      </c>
    </row>
    <row r="14" spans="1:7">
      <c r="A14" s="107"/>
      <c r="B14" s="279"/>
      <c r="C14" s="90"/>
      <c r="D14" s="90"/>
      <c r="E14" s="90"/>
      <c r="F14" s="122" t="str">
        <f t="shared" si="0"/>
        <v>----</v>
      </c>
    </row>
    <row r="15" spans="1:7">
      <c r="A15" s="107"/>
      <c r="B15" s="279"/>
      <c r="C15" s="90"/>
      <c r="D15" s="90"/>
      <c r="E15" s="90"/>
      <c r="F15" s="122" t="str">
        <f t="shared" si="0"/>
        <v>----</v>
      </c>
    </row>
    <row r="16" spans="1:7">
      <c r="A16" s="107"/>
      <c r="B16" s="279"/>
      <c r="C16" s="90"/>
      <c r="D16" s="90"/>
      <c r="E16" s="90"/>
      <c r="F16" s="122" t="str">
        <f t="shared" si="0"/>
        <v>----</v>
      </c>
    </row>
    <row r="17" spans="1:6">
      <c r="A17" s="107"/>
      <c r="B17" s="279"/>
      <c r="C17" s="90"/>
      <c r="D17" s="90"/>
      <c r="E17" s="90"/>
      <c r="F17" s="122" t="str">
        <f t="shared" si="0"/>
        <v>----</v>
      </c>
    </row>
    <row r="18" spans="1:6">
      <c r="A18" s="107"/>
      <c r="B18" s="279"/>
      <c r="C18" s="90"/>
      <c r="D18" s="90"/>
      <c r="E18" s="90"/>
      <c r="F18" s="122" t="str">
        <f t="shared" si="0"/>
        <v>----</v>
      </c>
    </row>
    <row r="19" spans="1:6">
      <c r="A19" s="107"/>
      <c r="B19" s="279"/>
      <c r="C19" s="90"/>
      <c r="D19" s="90"/>
      <c r="E19" s="90"/>
      <c r="F19" s="122" t="str">
        <f t="shared" si="0"/>
        <v>----</v>
      </c>
    </row>
    <row r="20" spans="1:6">
      <c r="A20" s="107"/>
      <c r="B20" s="279"/>
      <c r="C20" s="90"/>
      <c r="D20" s="90"/>
      <c r="E20" s="90"/>
      <c r="F20" s="122" t="str">
        <f t="shared" si="0"/>
        <v>----</v>
      </c>
    </row>
    <row r="21" spans="1:6">
      <c r="A21" s="107"/>
      <c r="B21" s="279"/>
      <c r="C21" s="90"/>
      <c r="D21" s="90"/>
      <c r="E21" s="90"/>
      <c r="F21" s="122" t="str">
        <f t="shared" si="0"/>
        <v>----</v>
      </c>
    </row>
    <row r="22" spans="1:6">
      <c r="A22" s="107"/>
      <c r="B22" s="279"/>
      <c r="C22" s="90"/>
      <c r="D22" s="90"/>
      <c r="E22" s="90"/>
      <c r="F22" s="122" t="str">
        <f t="shared" si="0"/>
        <v>----</v>
      </c>
    </row>
    <row r="23" spans="1:6">
      <c r="A23" s="107"/>
      <c r="B23" s="279"/>
      <c r="C23" s="90"/>
      <c r="D23" s="90"/>
      <c r="E23" s="90"/>
      <c r="F23" s="122" t="str">
        <f t="shared" si="0"/>
        <v>----</v>
      </c>
    </row>
    <row r="24" spans="1:6">
      <c r="A24" s="123"/>
      <c r="B24" s="282"/>
      <c r="C24" s="125"/>
      <c r="D24" s="125"/>
      <c r="E24" s="125"/>
      <c r="F24" s="126" t="str">
        <f t="shared" si="0"/>
        <v>----</v>
      </c>
    </row>
    <row r="25" spans="1:6" ht="15.75" thickBot="1">
      <c r="A25" s="75"/>
      <c r="B25" s="76"/>
      <c r="C25" s="77"/>
      <c r="D25" s="77"/>
      <c r="E25" s="77"/>
      <c r="F25" s="78" t="str">
        <f>IF(ISBLANK($E25),"----",$E25-$D25)</f>
        <v>----</v>
      </c>
    </row>
    <row r="26" spans="1:6" ht="15.75" thickBot="1">
      <c r="A26" s="28"/>
      <c r="B26" s="28"/>
      <c r="C26" s="29"/>
      <c r="D26" s="29"/>
      <c r="E26" s="29"/>
      <c r="F26" s="70">
        <f>SUM(F3:F25)</f>
        <v>5134.4000000000233</v>
      </c>
    </row>
  </sheetData>
  <mergeCells count="1">
    <mergeCell ref="A1:F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F17"/>
  <sheetViews>
    <sheetView workbookViewId="0">
      <selection activeCell="E4" sqref="E3:E4"/>
    </sheetView>
  </sheetViews>
  <sheetFormatPr defaultRowHeight="15"/>
  <cols>
    <col min="2" max="2" width="22.85546875" bestFit="1" customWidth="1"/>
    <col min="3" max="4" width="10.7109375" bestFit="1" customWidth="1"/>
    <col min="5" max="5" width="10.140625" bestFit="1" customWidth="1"/>
    <col min="6" max="6" width="9.85546875" bestFit="1" customWidth="1"/>
  </cols>
  <sheetData>
    <row r="1" spans="1:6" ht="15.75" thickBot="1">
      <c r="A1" s="530" t="s">
        <v>256</v>
      </c>
      <c r="B1" s="531"/>
      <c r="C1" s="531"/>
      <c r="D1" s="531"/>
      <c r="E1" s="531"/>
      <c r="F1" s="532"/>
    </row>
    <row r="2" spans="1:6" ht="57.75" thickBot="1">
      <c r="A2" s="25" t="s">
        <v>110</v>
      </c>
      <c r="B2" s="79" t="s">
        <v>111</v>
      </c>
      <c r="C2" s="80" t="s">
        <v>112</v>
      </c>
      <c r="D2" s="80" t="s">
        <v>120</v>
      </c>
      <c r="E2" s="80" t="s">
        <v>121</v>
      </c>
      <c r="F2" s="26" t="s">
        <v>113</v>
      </c>
    </row>
    <row r="3" spans="1:6">
      <c r="A3" s="71">
        <v>44180</v>
      </c>
      <c r="B3" s="72" t="s">
        <v>361</v>
      </c>
      <c r="C3" s="73">
        <v>408767.3</v>
      </c>
      <c r="D3" s="73">
        <f>C3</f>
        <v>408767.3</v>
      </c>
      <c r="E3" s="73">
        <v>400462.08000000002</v>
      </c>
      <c r="F3" s="74">
        <f t="shared" ref="F3:F16" si="0">IF(ISBLANK($E3),"----",$E3-$D3)</f>
        <v>-8305.2199999999721</v>
      </c>
    </row>
    <row r="4" spans="1:6">
      <c r="A4" s="91">
        <v>44180</v>
      </c>
      <c r="B4" s="106" t="s">
        <v>362</v>
      </c>
      <c r="C4" s="85">
        <v>569656.53</v>
      </c>
      <c r="D4" s="85">
        <f>C4</f>
        <v>569656.53</v>
      </c>
      <c r="E4" s="85">
        <v>565439.42000000004</v>
      </c>
      <c r="F4" s="86">
        <f t="shared" si="0"/>
        <v>-4217.109999999986</v>
      </c>
    </row>
    <row r="5" spans="1:6">
      <c r="A5" s="94"/>
      <c r="B5" s="95"/>
      <c r="C5" s="87"/>
      <c r="D5" s="87"/>
      <c r="E5" s="87"/>
      <c r="F5" s="88" t="str">
        <f t="shared" si="0"/>
        <v>----</v>
      </c>
    </row>
    <row r="6" spans="1:6">
      <c r="A6" s="91"/>
      <c r="B6" s="106"/>
      <c r="C6" s="85"/>
      <c r="D6" s="85"/>
      <c r="E6" s="85"/>
      <c r="F6" s="86" t="str">
        <f t="shared" si="0"/>
        <v>----</v>
      </c>
    </row>
    <row r="7" spans="1:6">
      <c r="A7" s="94"/>
      <c r="B7" s="95"/>
      <c r="C7" s="87"/>
      <c r="D7" s="87"/>
      <c r="E7" s="87"/>
      <c r="F7" s="88" t="str">
        <f t="shared" si="0"/>
        <v>----</v>
      </c>
    </row>
    <row r="8" spans="1:6">
      <c r="A8" s="91"/>
      <c r="B8" s="106"/>
      <c r="C8" s="85"/>
      <c r="D8" s="85"/>
      <c r="E8" s="85"/>
      <c r="F8" s="86" t="str">
        <f t="shared" si="0"/>
        <v>----</v>
      </c>
    </row>
    <row r="9" spans="1:6">
      <c r="A9" s="94"/>
      <c r="B9" s="95"/>
      <c r="C9" s="87"/>
      <c r="D9" s="87"/>
      <c r="E9" s="87"/>
      <c r="F9" s="88" t="str">
        <f t="shared" si="0"/>
        <v>----</v>
      </c>
    </row>
    <row r="10" spans="1:6">
      <c r="A10" s="91"/>
      <c r="B10" s="106"/>
      <c r="C10" s="85"/>
      <c r="D10" s="85"/>
      <c r="E10" s="85"/>
      <c r="F10" s="86" t="str">
        <f t="shared" si="0"/>
        <v>----</v>
      </c>
    </row>
    <row r="11" spans="1:6">
      <c r="A11" s="94"/>
      <c r="B11" s="95"/>
      <c r="C11" s="87"/>
      <c r="D11" s="87"/>
      <c r="E11" s="87"/>
      <c r="F11" s="88" t="str">
        <f t="shared" si="0"/>
        <v>----</v>
      </c>
    </row>
    <row r="12" spans="1:6">
      <c r="A12" s="91"/>
      <c r="B12" s="106"/>
      <c r="C12" s="85"/>
      <c r="D12" s="85"/>
      <c r="E12" s="85"/>
      <c r="F12" s="86" t="str">
        <f t="shared" si="0"/>
        <v>----</v>
      </c>
    </row>
    <row r="13" spans="1:6">
      <c r="A13" s="94"/>
      <c r="B13" s="95"/>
      <c r="C13" s="87"/>
      <c r="D13" s="87"/>
      <c r="E13" s="87"/>
      <c r="F13" s="88" t="str">
        <f t="shared" si="0"/>
        <v>----</v>
      </c>
    </row>
    <row r="14" spans="1:6">
      <c r="A14" s="91"/>
      <c r="B14" s="106"/>
      <c r="C14" s="85"/>
      <c r="D14" s="85"/>
      <c r="E14" s="85"/>
      <c r="F14" s="86" t="str">
        <f t="shared" si="0"/>
        <v>----</v>
      </c>
    </row>
    <row r="15" spans="1:6">
      <c r="A15" s="94"/>
      <c r="B15" s="95"/>
      <c r="C15" s="87"/>
      <c r="D15" s="87"/>
      <c r="E15" s="87"/>
      <c r="F15" s="88" t="str">
        <f t="shared" si="0"/>
        <v>----</v>
      </c>
    </row>
    <row r="16" spans="1:6" ht="15.75" thickBot="1">
      <c r="A16" s="75"/>
      <c r="B16" s="76"/>
      <c r="C16" s="77"/>
      <c r="D16" s="77"/>
      <c r="E16" s="77"/>
      <c r="F16" s="78" t="str">
        <f t="shared" si="0"/>
        <v>----</v>
      </c>
    </row>
    <row r="17" spans="1:6" ht="15.75" thickBot="1">
      <c r="A17" s="28"/>
      <c r="B17" s="28"/>
      <c r="C17" s="29"/>
      <c r="D17" s="29"/>
      <c r="E17" s="29"/>
      <c r="F17" s="70">
        <f>SUM(F3:F16)</f>
        <v>-12522.329999999958</v>
      </c>
    </row>
  </sheetData>
  <mergeCells count="1">
    <mergeCell ref="A1:F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F21"/>
  <sheetViews>
    <sheetView workbookViewId="0">
      <selection activeCell="E4" sqref="E4"/>
    </sheetView>
  </sheetViews>
  <sheetFormatPr defaultRowHeight="15"/>
  <cols>
    <col min="2" max="2" width="22" bestFit="1" customWidth="1"/>
    <col min="3" max="3" width="12" bestFit="1" customWidth="1"/>
    <col min="4" max="4" width="11.140625" customWidth="1"/>
    <col min="5" max="5" width="10.140625" bestFit="1" customWidth="1"/>
    <col min="6" max="6" width="12.85546875" customWidth="1"/>
  </cols>
  <sheetData>
    <row r="1" spans="1:6" ht="15.75" thickBot="1">
      <c r="A1" s="530" t="s">
        <v>153</v>
      </c>
      <c r="B1" s="531"/>
      <c r="C1" s="531"/>
      <c r="D1" s="531"/>
      <c r="E1" s="531"/>
      <c r="F1" s="532"/>
    </row>
    <row r="2" spans="1:6" ht="57.75" thickBot="1">
      <c r="A2" s="25" t="s">
        <v>110</v>
      </c>
      <c r="B2" s="79" t="s">
        <v>111</v>
      </c>
      <c r="C2" s="80" t="s">
        <v>112</v>
      </c>
      <c r="D2" s="80" t="s">
        <v>120</v>
      </c>
      <c r="E2" s="80" t="s">
        <v>121</v>
      </c>
      <c r="F2" s="26" t="s">
        <v>113</v>
      </c>
    </row>
    <row r="3" spans="1:6">
      <c r="A3" s="71">
        <v>43816</v>
      </c>
      <c r="B3" s="72" t="s">
        <v>168</v>
      </c>
      <c r="C3" s="73">
        <v>663331.87</v>
      </c>
      <c r="D3" s="73">
        <f>C3</f>
        <v>663331.87</v>
      </c>
      <c r="E3" s="73">
        <v>651120.44999999995</v>
      </c>
      <c r="F3" s="74">
        <f>IF(ISBLANK($E3),"----",$E3-$D3)</f>
        <v>-12211.420000000042</v>
      </c>
    </row>
    <row r="4" spans="1:6">
      <c r="A4" s="94">
        <v>43816</v>
      </c>
      <c r="B4" s="95" t="s">
        <v>169</v>
      </c>
      <c r="C4" s="87">
        <v>700659.04</v>
      </c>
      <c r="D4" s="87">
        <f>C4</f>
        <v>700659.04</v>
      </c>
      <c r="E4" s="87">
        <v>681332.98999999987</v>
      </c>
      <c r="F4" s="88">
        <f>IF(ISBLANK($E4),"----",$E4-$D4)</f>
        <v>-19326.050000000163</v>
      </c>
    </row>
    <row r="5" spans="1:6">
      <c r="A5" s="107">
        <v>44698</v>
      </c>
      <c r="B5" s="108" t="s">
        <v>525</v>
      </c>
      <c r="C5" s="90">
        <v>1060952.3700000001</v>
      </c>
      <c r="D5" s="90">
        <f>C5</f>
        <v>1060952.3700000001</v>
      </c>
      <c r="E5" s="90"/>
      <c r="F5" s="122"/>
    </row>
    <row r="6" spans="1:6">
      <c r="A6" s="107"/>
      <c r="B6" s="108"/>
      <c r="C6" s="90"/>
      <c r="D6" s="90"/>
      <c r="E6" s="90"/>
      <c r="F6" s="122"/>
    </row>
    <row r="7" spans="1:6">
      <c r="A7" s="107"/>
      <c r="B7" s="108"/>
      <c r="C7" s="90"/>
      <c r="D7" s="90"/>
      <c r="E7" s="90"/>
      <c r="F7" s="122"/>
    </row>
    <row r="8" spans="1:6">
      <c r="A8" s="107"/>
      <c r="B8" s="108"/>
      <c r="C8" s="90"/>
      <c r="D8" s="90"/>
      <c r="E8" s="90"/>
      <c r="F8" s="122"/>
    </row>
    <row r="9" spans="1:6">
      <c r="A9" s="107"/>
      <c r="B9" s="108"/>
      <c r="C9" s="90"/>
      <c r="D9" s="90"/>
      <c r="E9" s="90"/>
      <c r="F9" s="122"/>
    </row>
    <row r="10" spans="1:6">
      <c r="A10" s="107"/>
      <c r="B10" s="108"/>
      <c r="C10" s="90"/>
      <c r="D10" s="90"/>
      <c r="E10" s="90"/>
      <c r="F10" s="122"/>
    </row>
    <row r="11" spans="1:6">
      <c r="A11" s="107"/>
      <c r="B11" s="108"/>
      <c r="C11" s="90"/>
      <c r="D11" s="90"/>
      <c r="E11" s="90"/>
      <c r="F11" s="122"/>
    </row>
    <row r="12" spans="1:6">
      <c r="A12" s="107"/>
      <c r="B12" s="108"/>
      <c r="C12" s="90"/>
      <c r="D12" s="90"/>
      <c r="E12" s="90"/>
      <c r="F12" s="122"/>
    </row>
    <row r="13" spans="1:6">
      <c r="A13" s="107"/>
      <c r="B13" s="108"/>
      <c r="C13" s="90"/>
      <c r="D13" s="90"/>
      <c r="E13" s="90"/>
      <c r="F13" s="122"/>
    </row>
    <row r="14" spans="1:6">
      <c r="A14" s="107"/>
      <c r="B14" s="108"/>
      <c r="C14" s="90"/>
      <c r="D14" s="90"/>
      <c r="E14" s="90"/>
      <c r="F14" s="122"/>
    </row>
    <row r="15" spans="1:6">
      <c r="A15" s="107"/>
      <c r="B15" s="108"/>
      <c r="C15" s="90"/>
      <c r="D15" s="90"/>
      <c r="E15" s="90"/>
      <c r="F15" s="122"/>
    </row>
    <row r="16" spans="1:6">
      <c r="A16" s="107"/>
      <c r="B16" s="108"/>
      <c r="C16" s="90"/>
      <c r="D16" s="90"/>
      <c r="E16" s="90"/>
      <c r="F16" s="122"/>
    </row>
    <row r="17" spans="1:6">
      <c r="A17" s="107"/>
      <c r="B17" s="108"/>
      <c r="C17" s="90"/>
      <c r="D17" s="90"/>
      <c r="E17" s="90"/>
      <c r="F17" s="122"/>
    </row>
    <row r="18" spans="1:6">
      <c r="A18" s="107"/>
      <c r="B18" s="108"/>
      <c r="C18" s="90"/>
      <c r="D18" s="90"/>
      <c r="E18" s="90"/>
      <c r="F18" s="122"/>
    </row>
    <row r="19" spans="1:6">
      <c r="A19" s="123"/>
      <c r="B19" s="124"/>
      <c r="C19" s="125"/>
      <c r="D19" s="125"/>
      <c r="E19" s="125"/>
      <c r="F19" s="126"/>
    </row>
    <row r="20" spans="1:6" ht="15.75" thickBot="1">
      <c r="A20" s="75"/>
      <c r="B20" s="76"/>
      <c r="C20" s="77"/>
      <c r="D20" s="77"/>
      <c r="E20" s="77"/>
      <c r="F20" s="78" t="str">
        <f>IF(ISBLANK($E20),"----",$E20-$D20)</f>
        <v>----</v>
      </c>
    </row>
    <row r="21" spans="1:6" ht="15.75" thickBot="1">
      <c r="A21" s="28"/>
      <c r="B21" s="28"/>
      <c r="C21" s="29"/>
      <c r="D21" s="29"/>
      <c r="E21" s="29"/>
      <c r="F21" s="70">
        <f>SUM(F3:F20)</f>
        <v>-31537.470000000205</v>
      </c>
    </row>
  </sheetData>
  <mergeCells count="1">
    <mergeCell ref="A1:F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G20"/>
  <sheetViews>
    <sheetView workbookViewId="0">
      <selection activeCell="J12" sqref="J12"/>
    </sheetView>
  </sheetViews>
  <sheetFormatPr defaultRowHeight="15"/>
  <cols>
    <col min="2" max="2" width="21" bestFit="1" customWidth="1"/>
    <col min="3" max="3" width="12.7109375" customWidth="1"/>
    <col min="4" max="4" width="13" customWidth="1"/>
  </cols>
  <sheetData>
    <row r="1" spans="1:7" ht="15.75" thickBot="1">
      <c r="A1" s="530" t="s">
        <v>257</v>
      </c>
      <c r="B1" s="531"/>
      <c r="C1" s="531"/>
      <c r="D1" s="531"/>
      <c r="E1" s="531"/>
      <c r="F1" s="532"/>
    </row>
    <row r="2" spans="1:7" ht="69" thickBot="1">
      <c r="A2" s="25" t="s">
        <v>110</v>
      </c>
      <c r="B2" s="79" t="s">
        <v>111</v>
      </c>
      <c r="C2" s="80" t="s">
        <v>112</v>
      </c>
      <c r="D2" s="80" t="s">
        <v>247</v>
      </c>
      <c r="E2" s="80" t="s">
        <v>121</v>
      </c>
      <c r="F2" s="26" t="s">
        <v>113</v>
      </c>
    </row>
    <row r="3" spans="1:7">
      <c r="A3" s="71">
        <v>44124</v>
      </c>
      <c r="B3" s="72" t="s">
        <v>311</v>
      </c>
      <c r="C3" s="73">
        <v>1643438.76</v>
      </c>
      <c r="D3" s="73">
        <v>1261098.76</v>
      </c>
      <c r="E3" s="73"/>
      <c r="F3" s="74" t="str">
        <f>IF(ISBLANK($E3),"----",$E3-$D3)</f>
        <v>----</v>
      </c>
    </row>
    <row r="4" spans="1:7">
      <c r="A4" s="214">
        <v>44243</v>
      </c>
      <c r="B4" s="106" t="s">
        <v>397</v>
      </c>
      <c r="C4" s="215">
        <v>850881.65</v>
      </c>
      <c r="D4" s="217">
        <v>0</v>
      </c>
      <c r="E4" s="215"/>
      <c r="F4" s="216" t="str">
        <f>IF(ISBLANK($E4),"----",$E4-$D4)</f>
        <v>----</v>
      </c>
      <c r="G4" s="229" t="s">
        <v>516</v>
      </c>
    </row>
    <row r="5" spans="1:7">
      <c r="A5" s="107"/>
      <c r="B5" s="108"/>
      <c r="C5" s="90"/>
      <c r="D5" s="90"/>
      <c r="E5" s="90"/>
      <c r="F5" s="86" t="str">
        <f t="shared" ref="F5:F17" si="0">IF(ISBLANK($E5),"----",$E5-$D5)</f>
        <v>----</v>
      </c>
    </row>
    <row r="6" spans="1:7">
      <c r="A6" s="107"/>
      <c r="B6" s="108"/>
      <c r="C6" s="90"/>
      <c r="D6" s="90"/>
      <c r="E6" s="90"/>
      <c r="F6" s="86" t="str">
        <f t="shared" si="0"/>
        <v>----</v>
      </c>
    </row>
    <row r="7" spans="1:7">
      <c r="A7" s="107"/>
      <c r="B7" s="108"/>
      <c r="C7" s="90"/>
      <c r="D7" s="90"/>
      <c r="E7" s="90"/>
      <c r="F7" s="86" t="str">
        <f t="shared" si="0"/>
        <v>----</v>
      </c>
    </row>
    <row r="8" spans="1:7">
      <c r="A8" s="107"/>
      <c r="B8" s="108"/>
      <c r="C8" s="90"/>
      <c r="D8" s="90"/>
      <c r="E8" s="90"/>
      <c r="F8" s="86" t="str">
        <f t="shared" si="0"/>
        <v>----</v>
      </c>
    </row>
    <row r="9" spans="1:7">
      <c r="A9" s="107"/>
      <c r="B9" s="108"/>
      <c r="C9" s="90"/>
      <c r="D9" s="90"/>
      <c r="E9" s="90"/>
      <c r="F9" s="86" t="str">
        <f t="shared" si="0"/>
        <v>----</v>
      </c>
    </row>
    <row r="10" spans="1:7">
      <c r="A10" s="107"/>
      <c r="B10" s="108"/>
      <c r="C10" s="90"/>
      <c r="D10" s="90"/>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07"/>
      <c r="B17" s="108"/>
      <c r="C17" s="90"/>
      <c r="D17" s="90"/>
      <c r="E17" s="90"/>
      <c r="F17" s="86" t="str">
        <f t="shared" si="0"/>
        <v>----</v>
      </c>
    </row>
    <row r="18" spans="1:6">
      <c r="A18" s="123"/>
      <c r="B18" s="124"/>
      <c r="C18" s="125"/>
      <c r="D18" s="125"/>
      <c r="E18" s="125"/>
      <c r="F18" s="126" t="str">
        <f>IF(ISBLANK($E18),"----",$E18-$D18)</f>
        <v>----</v>
      </c>
    </row>
    <row r="19" spans="1:6" ht="15.75" thickBot="1">
      <c r="A19" s="75"/>
      <c r="B19" s="76"/>
      <c r="C19" s="77"/>
      <c r="D19" s="77"/>
      <c r="E19" s="77"/>
      <c r="F19" s="78" t="str">
        <f>IF(ISBLANK($E19),"----",$E19-$D19)</f>
        <v>----</v>
      </c>
    </row>
    <row r="20" spans="1:6" ht="15.75" thickBot="1">
      <c r="A20" s="28"/>
      <c r="B20" s="28"/>
      <c r="C20" s="29"/>
      <c r="D20" s="29"/>
      <c r="E20" s="29"/>
      <c r="F20" s="70">
        <f>SUM(F3:F19)</f>
        <v>0</v>
      </c>
    </row>
  </sheetData>
  <mergeCells count="1">
    <mergeCell ref="A1:F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F20"/>
  <sheetViews>
    <sheetView workbookViewId="0">
      <selection activeCell="E3" sqref="E3"/>
    </sheetView>
  </sheetViews>
  <sheetFormatPr defaultRowHeight="15"/>
  <cols>
    <col min="2" max="2" width="22.7109375" bestFit="1" customWidth="1"/>
    <col min="3" max="4" width="10.7109375" bestFit="1" customWidth="1"/>
    <col min="5" max="5" width="10.140625" bestFit="1" customWidth="1"/>
    <col min="6" max="6" width="9.140625" bestFit="1" customWidth="1"/>
  </cols>
  <sheetData>
    <row r="1" spans="1:6" ht="15.75" thickBot="1">
      <c r="A1" s="530" t="s">
        <v>258</v>
      </c>
      <c r="B1" s="531"/>
      <c r="C1" s="531"/>
      <c r="D1" s="531"/>
      <c r="E1" s="531"/>
      <c r="F1" s="532"/>
    </row>
    <row r="2" spans="1:6" ht="69" thickBot="1">
      <c r="A2" s="25" t="s">
        <v>110</v>
      </c>
      <c r="B2" s="79" t="s">
        <v>111</v>
      </c>
      <c r="C2" s="80" t="s">
        <v>112</v>
      </c>
      <c r="D2" s="80" t="s">
        <v>120</v>
      </c>
      <c r="E2" s="80" t="s">
        <v>121</v>
      </c>
      <c r="F2" s="26" t="s">
        <v>113</v>
      </c>
    </row>
    <row r="3" spans="1:6">
      <c r="A3" s="71">
        <v>44180</v>
      </c>
      <c r="B3" s="72" t="s">
        <v>363</v>
      </c>
      <c r="C3" s="73">
        <v>814685.26</v>
      </c>
      <c r="D3" s="73">
        <f>C3</f>
        <v>814685.26</v>
      </c>
      <c r="E3" s="73">
        <v>813336.16</v>
      </c>
      <c r="F3" s="74">
        <f t="shared" ref="F3:F19" si="0">IF(ISBLANK($E3),"----",$E3-$D3)</f>
        <v>-1349.0999999999767</v>
      </c>
    </row>
    <row r="4" spans="1:6">
      <c r="A4" s="91">
        <v>45097</v>
      </c>
      <c r="B4" s="106" t="s">
        <v>670</v>
      </c>
      <c r="C4" s="85">
        <v>422511.5</v>
      </c>
      <c r="D4" s="85">
        <f>C4</f>
        <v>422511.5</v>
      </c>
      <c r="E4" s="85"/>
      <c r="F4" s="86" t="str">
        <f t="shared" si="0"/>
        <v>----</v>
      </c>
    </row>
    <row r="5" spans="1:6">
      <c r="A5" s="94">
        <v>45097</v>
      </c>
      <c r="B5" s="95" t="s">
        <v>671</v>
      </c>
      <c r="C5" s="87">
        <v>364520</v>
      </c>
      <c r="D5" s="87">
        <f>C5</f>
        <v>364520</v>
      </c>
      <c r="E5" s="87"/>
      <c r="F5" s="88" t="str">
        <f t="shared" si="0"/>
        <v>----</v>
      </c>
    </row>
    <row r="6" spans="1:6">
      <c r="A6" s="91"/>
      <c r="B6" s="106"/>
      <c r="C6" s="85"/>
      <c r="D6" s="85"/>
      <c r="E6" s="85"/>
      <c r="F6" s="86" t="str">
        <f t="shared" si="0"/>
        <v>----</v>
      </c>
    </row>
    <row r="7" spans="1:6">
      <c r="A7" s="94"/>
      <c r="B7" s="95"/>
      <c r="C7" s="87"/>
      <c r="D7" s="87"/>
      <c r="E7" s="87"/>
      <c r="F7" s="88" t="str">
        <f t="shared" si="0"/>
        <v>----</v>
      </c>
    </row>
    <row r="8" spans="1:6">
      <c r="A8" s="91"/>
      <c r="B8" s="106"/>
      <c r="C8" s="85"/>
      <c r="D8" s="85"/>
      <c r="E8" s="85"/>
      <c r="F8" s="86" t="str">
        <f t="shared" si="0"/>
        <v>----</v>
      </c>
    </row>
    <row r="9" spans="1:6">
      <c r="A9" s="94"/>
      <c r="B9" s="95"/>
      <c r="C9" s="87"/>
      <c r="D9" s="87"/>
      <c r="E9" s="87"/>
      <c r="F9" s="88" t="str">
        <f t="shared" si="0"/>
        <v>----</v>
      </c>
    </row>
    <row r="10" spans="1:6">
      <c r="A10" s="91"/>
      <c r="B10" s="106"/>
      <c r="C10" s="85"/>
      <c r="D10" s="85"/>
      <c r="E10" s="85"/>
      <c r="F10" s="86" t="str">
        <f t="shared" si="0"/>
        <v>----</v>
      </c>
    </row>
    <row r="11" spans="1:6">
      <c r="A11" s="91"/>
      <c r="B11" s="106"/>
      <c r="C11" s="85"/>
      <c r="D11" s="85"/>
      <c r="E11" s="85"/>
      <c r="F11" s="86" t="str">
        <f t="shared" si="0"/>
        <v>----</v>
      </c>
    </row>
    <row r="12" spans="1:6">
      <c r="A12" s="94"/>
      <c r="B12" s="95"/>
      <c r="C12" s="87"/>
      <c r="D12" s="87"/>
      <c r="E12" s="87"/>
      <c r="F12" s="88" t="str">
        <f t="shared" si="0"/>
        <v>----</v>
      </c>
    </row>
    <row r="13" spans="1:6">
      <c r="A13" s="91"/>
      <c r="B13" s="106"/>
      <c r="C13" s="85"/>
      <c r="D13" s="85"/>
      <c r="E13" s="85"/>
      <c r="F13" s="86" t="str">
        <f t="shared" si="0"/>
        <v>----</v>
      </c>
    </row>
    <row r="14" spans="1:6">
      <c r="A14" s="94"/>
      <c r="B14" s="95"/>
      <c r="C14" s="87"/>
      <c r="D14" s="87"/>
      <c r="E14" s="87"/>
      <c r="F14" s="88" t="str">
        <f t="shared" si="0"/>
        <v>----</v>
      </c>
    </row>
    <row r="15" spans="1:6">
      <c r="A15" s="91"/>
      <c r="B15" s="106"/>
      <c r="C15" s="85"/>
      <c r="D15" s="85"/>
      <c r="E15" s="85"/>
      <c r="F15" s="86" t="str">
        <f t="shared" si="0"/>
        <v>----</v>
      </c>
    </row>
    <row r="16" spans="1:6">
      <c r="A16" s="94"/>
      <c r="B16" s="95"/>
      <c r="C16" s="87"/>
      <c r="D16" s="87"/>
      <c r="E16" s="87"/>
      <c r="F16" s="88" t="str">
        <f t="shared" si="0"/>
        <v>----</v>
      </c>
    </row>
    <row r="17" spans="1:6">
      <c r="A17" s="91"/>
      <c r="B17" s="106"/>
      <c r="C17" s="85"/>
      <c r="D17" s="85"/>
      <c r="E17" s="85"/>
      <c r="F17" s="86" t="str">
        <f t="shared" si="0"/>
        <v>----</v>
      </c>
    </row>
    <row r="18" spans="1:6">
      <c r="A18" s="94"/>
      <c r="B18" s="95"/>
      <c r="C18" s="87"/>
      <c r="D18" s="87"/>
      <c r="E18" s="87"/>
      <c r="F18" s="88" t="str">
        <f t="shared" si="0"/>
        <v>----</v>
      </c>
    </row>
    <row r="19" spans="1:6" ht="15.75" thickBot="1">
      <c r="A19" s="75"/>
      <c r="B19" s="76"/>
      <c r="C19" s="77"/>
      <c r="D19" s="77"/>
      <c r="E19" s="77"/>
      <c r="F19" s="78" t="str">
        <f t="shared" si="0"/>
        <v>----</v>
      </c>
    </row>
    <row r="20" spans="1:6" ht="15.75" thickBot="1">
      <c r="A20" s="28"/>
      <c r="B20" s="28"/>
      <c r="C20" s="29"/>
      <c r="D20" s="29"/>
      <c r="E20" s="29"/>
      <c r="F20" s="70">
        <f>SUM(F3:F19)</f>
        <v>-1349.0999999999767</v>
      </c>
    </row>
  </sheetData>
  <mergeCells count="1">
    <mergeCell ref="A1:F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F7"/>
  <sheetViews>
    <sheetView workbookViewId="0">
      <selection activeCell="Q53" sqref="Q53"/>
    </sheetView>
  </sheetViews>
  <sheetFormatPr defaultRowHeight="15"/>
  <sheetData>
    <row r="1" spans="1:6" ht="15.75" thickBot="1">
      <c r="A1" s="530" t="s">
        <v>259</v>
      </c>
      <c r="B1" s="531"/>
      <c r="C1" s="531"/>
      <c r="D1" s="531"/>
      <c r="E1" s="531"/>
      <c r="F1" s="532"/>
    </row>
    <row r="2" spans="1:6" ht="69" thickBot="1">
      <c r="A2" s="25" t="s">
        <v>110</v>
      </c>
      <c r="B2" s="79" t="s">
        <v>111</v>
      </c>
      <c r="C2" s="80" t="s">
        <v>112</v>
      </c>
      <c r="D2" s="80" t="s">
        <v>120</v>
      </c>
      <c r="E2" s="80" t="s">
        <v>121</v>
      </c>
      <c r="F2" s="26" t="s">
        <v>113</v>
      </c>
    </row>
    <row r="3" spans="1:6">
      <c r="A3" s="71"/>
      <c r="B3" s="72"/>
      <c r="C3" s="73"/>
      <c r="D3" s="73"/>
      <c r="E3" s="73"/>
      <c r="F3" s="74" t="str">
        <f>IF(ISBLANK($E3),"----",$E3-$D3)</f>
        <v>----</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G19"/>
  <sheetViews>
    <sheetView workbookViewId="0">
      <selection activeCell="E14" sqref="E5:E14"/>
    </sheetView>
  </sheetViews>
  <sheetFormatPr defaultRowHeight="15"/>
  <cols>
    <col min="2" max="2" width="22.85546875" bestFit="1" customWidth="1"/>
    <col min="3" max="3" width="10.7109375" bestFit="1" customWidth="1"/>
    <col min="4" max="4" width="11.140625" customWidth="1"/>
    <col min="5" max="5" width="10.140625" bestFit="1" customWidth="1"/>
    <col min="6" max="6" width="11.5703125" customWidth="1"/>
  </cols>
  <sheetData>
    <row r="1" spans="1:7" ht="15.75" thickBot="1">
      <c r="A1" s="530" t="s">
        <v>137</v>
      </c>
      <c r="B1" s="531"/>
      <c r="C1" s="531"/>
      <c r="D1" s="531"/>
      <c r="E1" s="531"/>
      <c r="F1" s="532"/>
    </row>
    <row r="2" spans="1:7" ht="57.75" thickBot="1">
      <c r="A2" s="25" t="s">
        <v>110</v>
      </c>
      <c r="B2" s="79" t="s">
        <v>111</v>
      </c>
      <c r="C2" s="80" t="s">
        <v>112</v>
      </c>
      <c r="D2" s="80" t="s">
        <v>120</v>
      </c>
      <c r="E2" s="80" t="s">
        <v>121</v>
      </c>
      <c r="F2" s="26" t="s">
        <v>113</v>
      </c>
    </row>
    <row r="3" spans="1:7">
      <c r="A3" s="102">
        <v>43788</v>
      </c>
      <c r="B3" s="103" t="s">
        <v>147</v>
      </c>
      <c r="C3" s="104">
        <v>597115.5</v>
      </c>
      <c r="D3" s="104">
        <v>477692.4</v>
      </c>
      <c r="E3" s="104"/>
      <c r="F3" s="105" t="str">
        <f>IF(ISBLANK($E3),"----",$E3-$D3)</f>
        <v>----</v>
      </c>
      <c r="G3" t="s">
        <v>148</v>
      </c>
    </row>
    <row r="4" spans="1:7">
      <c r="A4" s="134">
        <v>43998</v>
      </c>
      <c r="B4" s="135" t="s">
        <v>291</v>
      </c>
      <c r="C4" s="136">
        <v>179894</v>
      </c>
      <c r="D4" s="136">
        <v>143915.20000000001</v>
      </c>
      <c r="E4" s="136"/>
      <c r="F4" s="137" t="str">
        <f>IF(ISBLANK($E4),"----",$E4-$D4)</f>
        <v>----</v>
      </c>
    </row>
    <row r="5" spans="1:7">
      <c r="A5" s="127">
        <v>44153</v>
      </c>
      <c r="B5" s="128" t="s">
        <v>329</v>
      </c>
      <c r="C5" s="129">
        <v>281201.7</v>
      </c>
      <c r="D5" s="129">
        <f t="shared" ref="D5:D11" si="0">C5</f>
        <v>281201.7</v>
      </c>
      <c r="E5" s="129">
        <v>266195.14</v>
      </c>
      <c r="F5" s="137">
        <f t="shared" ref="F5:F16" si="1">IF(ISBLANK($E5),"----",$E5-$D5)</f>
        <v>-15006.559999999998</v>
      </c>
    </row>
    <row r="6" spans="1:7">
      <c r="A6" s="127">
        <v>44243</v>
      </c>
      <c r="B6" s="128" t="s">
        <v>398</v>
      </c>
      <c r="C6" s="129">
        <v>103731.6</v>
      </c>
      <c r="D6" s="129">
        <f t="shared" si="0"/>
        <v>103731.6</v>
      </c>
      <c r="E6" s="129">
        <v>103779.55</v>
      </c>
      <c r="F6" s="137">
        <f t="shared" si="1"/>
        <v>47.94999999999709</v>
      </c>
    </row>
    <row r="7" spans="1:7">
      <c r="A7" s="127">
        <v>44243</v>
      </c>
      <c r="B7" s="128" t="s">
        <v>399</v>
      </c>
      <c r="C7" s="129">
        <v>495760.5</v>
      </c>
      <c r="D7" s="129">
        <f t="shared" si="0"/>
        <v>495760.5</v>
      </c>
      <c r="E7" s="129">
        <v>493060.52</v>
      </c>
      <c r="F7" s="137">
        <f t="shared" si="1"/>
        <v>-2699.9799999999814</v>
      </c>
    </row>
    <row r="8" spans="1:7">
      <c r="A8" s="127">
        <v>44271</v>
      </c>
      <c r="B8" s="128" t="s">
        <v>408</v>
      </c>
      <c r="C8" s="129">
        <v>324861.8</v>
      </c>
      <c r="D8" s="129">
        <f t="shared" si="0"/>
        <v>324861.8</v>
      </c>
      <c r="E8" s="129">
        <v>323236.81</v>
      </c>
      <c r="F8" s="137">
        <f t="shared" si="1"/>
        <v>-1624.9899999999907</v>
      </c>
    </row>
    <row r="9" spans="1:7">
      <c r="A9" s="230">
        <v>44397</v>
      </c>
      <c r="B9" s="231" t="s">
        <v>437</v>
      </c>
      <c r="C9" s="232">
        <f>164988.83/2</f>
        <v>82494.414999999994</v>
      </c>
      <c r="D9" s="232">
        <f t="shared" si="0"/>
        <v>82494.414999999994</v>
      </c>
      <c r="E9" s="232">
        <v>75833.789999999994</v>
      </c>
      <c r="F9" s="233">
        <f t="shared" si="1"/>
        <v>-6660.625</v>
      </c>
      <c r="G9" t="s">
        <v>439</v>
      </c>
    </row>
    <row r="10" spans="1:7">
      <c r="A10" s="130">
        <v>44580</v>
      </c>
      <c r="B10" s="131" t="s">
        <v>495</v>
      </c>
      <c r="C10" s="132">
        <v>347870.6</v>
      </c>
      <c r="D10" s="132">
        <f t="shared" si="0"/>
        <v>347870.6</v>
      </c>
      <c r="E10" s="132">
        <v>339834.86</v>
      </c>
      <c r="F10" s="137">
        <f t="shared" si="1"/>
        <v>-8035.7399999999907</v>
      </c>
    </row>
    <row r="11" spans="1:7">
      <c r="A11" s="127">
        <v>44761</v>
      </c>
      <c r="B11" s="128" t="s">
        <v>147</v>
      </c>
      <c r="C11" s="129">
        <v>224088.2</v>
      </c>
      <c r="D11" s="132">
        <f t="shared" si="0"/>
        <v>224088.2</v>
      </c>
      <c r="E11" s="129">
        <v>224088.2</v>
      </c>
      <c r="F11" s="137">
        <f t="shared" si="1"/>
        <v>0</v>
      </c>
      <c r="G11" t="s">
        <v>551</v>
      </c>
    </row>
    <row r="12" spans="1:7">
      <c r="A12" s="130">
        <v>44761</v>
      </c>
      <c r="B12" s="131" t="s">
        <v>550</v>
      </c>
      <c r="C12" s="132">
        <f>206085/2</f>
        <v>103042.5</v>
      </c>
      <c r="D12" s="132">
        <f>C12</f>
        <v>103042.5</v>
      </c>
      <c r="E12" s="132">
        <v>104248.34</v>
      </c>
      <c r="F12" s="137">
        <f t="shared" si="1"/>
        <v>1205.8399999999965</v>
      </c>
      <c r="G12" t="s">
        <v>561</v>
      </c>
    </row>
    <row r="13" spans="1:7">
      <c r="A13" s="127">
        <v>45062</v>
      </c>
      <c r="B13" s="128" t="s">
        <v>666</v>
      </c>
      <c r="C13" s="427">
        <v>388864.8</v>
      </c>
      <c r="D13" s="427">
        <f>C13</f>
        <v>388864.8</v>
      </c>
      <c r="E13" s="129"/>
      <c r="F13" s="137" t="str">
        <f t="shared" si="1"/>
        <v>----</v>
      </c>
    </row>
    <row r="14" spans="1:7">
      <c r="A14" s="130">
        <v>45062</v>
      </c>
      <c r="B14" s="131" t="s">
        <v>667</v>
      </c>
      <c r="C14" s="428">
        <v>369684.07</v>
      </c>
      <c r="D14" s="428">
        <f>C14</f>
        <v>369684.07</v>
      </c>
      <c r="E14" s="132"/>
      <c r="F14" s="137" t="str">
        <f t="shared" si="1"/>
        <v>----</v>
      </c>
    </row>
    <row r="15" spans="1:7">
      <c r="A15" s="127"/>
      <c r="B15" s="128"/>
      <c r="C15" s="427"/>
      <c r="D15" s="427"/>
      <c r="E15" s="129"/>
      <c r="F15" s="137" t="str">
        <f t="shared" si="1"/>
        <v>----</v>
      </c>
    </row>
    <row r="16" spans="1:7">
      <c r="A16" s="130"/>
      <c r="B16" s="131"/>
      <c r="C16" s="428"/>
      <c r="D16" s="428"/>
      <c r="E16" s="132"/>
      <c r="F16" s="137" t="str">
        <f t="shared" si="1"/>
        <v>----</v>
      </c>
    </row>
    <row r="17" spans="1:6" ht="15.75" thickBot="1">
      <c r="A17" s="75"/>
      <c r="B17" s="76"/>
      <c r="C17" s="429"/>
      <c r="D17" s="429"/>
      <c r="E17" s="77"/>
      <c r="F17" s="78" t="str">
        <f>IF(ISBLANK($E17),"----",$E17-$D17)</f>
        <v>----</v>
      </c>
    </row>
    <row r="18" spans="1:6" ht="15.75" thickBot="1">
      <c r="A18" s="28"/>
      <c r="B18" s="28"/>
      <c r="C18" s="29"/>
      <c r="D18" s="29"/>
      <c r="E18" s="29"/>
      <c r="F18" s="70">
        <f>SUM(F3:F17)</f>
        <v>-32774.104999999967</v>
      </c>
    </row>
    <row r="19" spans="1:6">
      <c r="A19" s="17"/>
      <c r="B19" s="17"/>
      <c r="C19" s="20"/>
      <c r="D19" s="20"/>
      <c r="E19" s="20"/>
      <c r="F19" s="20"/>
    </row>
  </sheetData>
  <mergeCells count="1">
    <mergeCell ref="A1:F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F24"/>
  <sheetViews>
    <sheetView workbookViewId="0">
      <selection activeCell="B76" sqref="B76"/>
    </sheetView>
  </sheetViews>
  <sheetFormatPr defaultRowHeight="15"/>
  <cols>
    <col min="2" max="2" width="22.7109375" bestFit="1" customWidth="1"/>
    <col min="3" max="3" width="12" bestFit="1" customWidth="1"/>
    <col min="4" max="4" width="12.5703125" customWidth="1"/>
    <col min="5" max="5" width="11.42578125" bestFit="1" customWidth="1"/>
    <col min="6" max="6" width="15" customWidth="1"/>
  </cols>
  <sheetData>
    <row r="1" spans="1:6" ht="15.75" thickBot="1">
      <c r="A1" s="530" t="s">
        <v>180</v>
      </c>
      <c r="B1" s="531"/>
      <c r="C1" s="531"/>
      <c r="D1" s="531"/>
      <c r="E1" s="531"/>
      <c r="F1" s="532"/>
    </row>
    <row r="2" spans="1:6" ht="46.5" thickBot="1">
      <c r="A2" s="25" t="s">
        <v>110</v>
      </c>
      <c r="B2" s="79" t="s">
        <v>111</v>
      </c>
      <c r="C2" s="80" t="s">
        <v>112</v>
      </c>
      <c r="D2" s="80" t="s">
        <v>120</v>
      </c>
      <c r="E2" s="80" t="s">
        <v>121</v>
      </c>
      <c r="F2" s="26" t="s">
        <v>113</v>
      </c>
    </row>
    <row r="3" spans="1:6">
      <c r="A3" s="71">
        <v>43852</v>
      </c>
      <c r="B3" s="72" t="s">
        <v>201</v>
      </c>
      <c r="C3" s="73">
        <v>501799.95</v>
      </c>
      <c r="D3" s="73">
        <f>C3</f>
        <v>501799.95</v>
      </c>
      <c r="E3" s="73">
        <v>498472.85</v>
      </c>
      <c r="F3" s="74">
        <f>IF(ISBLANK($E3),"----",$E3-$D3)</f>
        <v>-3327.1000000000349</v>
      </c>
    </row>
    <row r="4" spans="1:6">
      <c r="A4" s="91">
        <v>44216</v>
      </c>
      <c r="B4" s="106" t="s">
        <v>375</v>
      </c>
      <c r="C4" s="85">
        <v>1107321.05</v>
      </c>
      <c r="D4" s="85">
        <f>C4</f>
        <v>1107321.05</v>
      </c>
      <c r="E4" s="85">
        <v>1137680.49</v>
      </c>
      <c r="F4" s="86">
        <f>IF(ISBLANK($E4),"----",$E4-$D4)</f>
        <v>30359.439999999944</v>
      </c>
    </row>
    <row r="5" spans="1:6">
      <c r="A5" s="107">
        <v>45125</v>
      </c>
      <c r="B5" s="108" t="s">
        <v>676</v>
      </c>
      <c r="C5" s="90">
        <v>1699701.65</v>
      </c>
      <c r="D5" s="90">
        <f>C5</f>
        <v>1699701.65</v>
      </c>
      <c r="E5" s="90"/>
      <c r="F5" s="86" t="str">
        <f t="shared" ref="F5:F22" si="0">IF(ISBLANK($E5),"----",$E5-$D5)</f>
        <v>----</v>
      </c>
    </row>
    <row r="6" spans="1:6">
      <c r="A6" s="107"/>
      <c r="B6" s="108"/>
      <c r="C6" s="90"/>
      <c r="D6" s="90"/>
      <c r="E6" s="90"/>
      <c r="F6" s="86" t="str">
        <f t="shared" si="0"/>
        <v>----</v>
      </c>
    </row>
    <row r="7" spans="1:6">
      <c r="A7" s="107"/>
      <c r="B7" s="108"/>
      <c r="C7" s="90"/>
      <c r="D7" s="90"/>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07"/>
      <c r="B20" s="108"/>
      <c r="C20" s="90"/>
      <c r="D20" s="90"/>
      <c r="E20" s="90"/>
      <c r="F20" s="86" t="str">
        <f t="shared" si="0"/>
        <v>----</v>
      </c>
    </row>
    <row r="21" spans="1:6">
      <c r="A21" s="107"/>
      <c r="B21" s="108"/>
      <c r="C21" s="90"/>
      <c r="D21" s="90"/>
      <c r="E21" s="90"/>
      <c r="F21" s="86" t="str">
        <f t="shared" si="0"/>
        <v>----</v>
      </c>
    </row>
    <row r="22" spans="1:6">
      <c r="A22" s="123"/>
      <c r="B22" s="124"/>
      <c r="C22" s="125"/>
      <c r="D22" s="125"/>
      <c r="E22" s="125"/>
      <c r="F22" s="86" t="str">
        <f t="shared" si="0"/>
        <v>----</v>
      </c>
    </row>
    <row r="23" spans="1:6" ht="15.75" thickBot="1">
      <c r="A23" s="75"/>
      <c r="B23" s="76"/>
      <c r="C23" s="77"/>
      <c r="D23" s="77"/>
      <c r="E23" s="77"/>
      <c r="F23" s="78" t="str">
        <f>IF(ISBLANK($E23),"----",$E23-$D23)</f>
        <v>----</v>
      </c>
    </row>
    <row r="24" spans="1:6" ht="15.75" thickBot="1">
      <c r="A24" s="28"/>
      <c r="B24" s="28"/>
      <c r="C24" s="29"/>
      <c r="D24" s="29"/>
      <c r="E24" s="29"/>
      <c r="F24" s="70">
        <f>SUM(F3:F23)</f>
        <v>27032.339999999909</v>
      </c>
    </row>
  </sheetData>
  <mergeCells count="1">
    <mergeCell ref="A1:F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F25"/>
  <sheetViews>
    <sheetView workbookViewId="0">
      <selection activeCell="E6" sqref="E3:E6"/>
    </sheetView>
  </sheetViews>
  <sheetFormatPr defaultRowHeight="15"/>
  <cols>
    <col min="2" max="2" width="23.7109375" bestFit="1" customWidth="1"/>
    <col min="3" max="3" width="10.7109375" bestFit="1" customWidth="1"/>
    <col min="4" max="4" width="13.28515625" customWidth="1"/>
    <col min="5" max="5" width="9.140625" bestFit="1" customWidth="1"/>
    <col min="6" max="6" width="10.85546875" customWidth="1"/>
  </cols>
  <sheetData>
    <row r="1" spans="1:6" ht="15.75" thickBot="1">
      <c r="A1" s="530" t="s">
        <v>230</v>
      </c>
      <c r="B1" s="531"/>
      <c r="C1" s="531"/>
      <c r="D1" s="531"/>
      <c r="E1" s="531"/>
      <c r="F1" s="532"/>
    </row>
    <row r="2" spans="1:6" ht="57.75" thickBot="1">
      <c r="A2" s="25" t="s">
        <v>110</v>
      </c>
      <c r="B2" s="79" t="s">
        <v>111</v>
      </c>
      <c r="C2" s="80" t="s">
        <v>112</v>
      </c>
      <c r="D2" s="80" t="s">
        <v>247</v>
      </c>
      <c r="E2" s="80" t="s">
        <v>121</v>
      </c>
      <c r="F2" s="26" t="s">
        <v>113</v>
      </c>
    </row>
    <row r="3" spans="1:6">
      <c r="A3" s="71">
        <v>43942</v>
      </c>
      <c r="B3" s="72" t="s">
        <v>292</v>
      </c>
      <c r="C3" s="73">
        <v>233893.7</v>
      </c>
      <c r="D3" s="109">
        <f>C3</f>
        <v>233893.7</v>
      </c>
      <c r="E3" s="109">
        <v>237080.75</v>
      </c>
      <c r="F3" s="74">
        <f t="shared" ref="F3:F24" si="0">IF(ISBLANK($E3),"----",$E3-$D3)</f>
        <v>3187.0499999999884</v>
      </c>
    </row>
    <row r="4" spans="1:6">
      <c r="A4" s="91">
        <v>43998</v>
      </c>
      <c r="B4" s="106" t="s">
        <v>293</v>
      </c>
      <c r="C4" s="85">
        <v>150524.9</v>
      </c>
      <c r="D4" s="119">
        <f>C4</f>
        <v>150524.9</v>
      </c>
      <c r="E4" s="119">
        <v>152134.9</v>
      </c>
      <c r="F4" s="86">
        <f t="shared" si="0"/>
        <v>1610</v>
      </c>
    </row>
    <row r="5" spans="1:6">
      <c r="A5" s="107">
        <v>44153</v>
      </c>
      <c r="B5" s="108" t="s">
        <v>330</v>
      </c>
      <c r="C5" s="90">
        <v>698479.37</v>
      </c>
      <c r="D5" s="138">
        <v>343449.37</v>
      </c>
      <c r="E5" s="138">
        <v>343235.76</v>
      </c>
      <c r="F5" s="86">
        <f t="shared" si="0"/>
        <v>-213.60999999998603</v>
      </c>
    </row>
    <row r="6" spans="1:6">
      <c r="A6" s="107">
        <v>44362</v>
      </c>
      <c r="B6" s="108" t="s">
        <v>434</v>
      </c>
      <c r="C6" s="90">
        <v>488462</v>
      </c>
      <c r="D6" s="138">
        <f>C6</f>
        <v>488462</v>
      </c>
      <c r="E6" s="138">
        <v>487394.23</v>
      </c>
      <c r="F6" s="86">
        <f t="shared" si="0"/>
        <v>-1067.7700000000186</v>
      </c>
    </row>
    <row r="7" spans="1:6">
      <c r="A7" s="107">
        <v>44915</v>
      </c>
      <c r="B7" s="108" t="s">
        <v>627</v>
      </c>
      <c r="C7" s="90">
        <v>264878</v>
      </c>
      <c r="D7" s="138">
        <v>264878</v>
      </c>
      <c r="E7" s="138"/>
      <c r="F7" s="86" t="str">
        <f t="shared" si="0"/>
        <v>----</v>
      </c>
    </row>
    <row r="8" spans="1:6">
      <c r="A8" s="107">
        <v>44915</v>
      </c>
      <c r="B8" s="108" t="s">
        <v>628</v>
      </c>
      <c r="C8" s="90">
        <v>181068</v>
      </c>
      <c r="D8" s="138">
        <v>181068</v>
      </c>
      <c r="E8" s="138"/>
      <c r="F8" s="86" t="str">
        <f t="shared" si="0"/>
        <v>----</v>
      </c>
    </row>
    <row r="9" spans="1:6">
      <c r="A9" s="107">
        <v>44915</v>
      </c>
      <c r="B9" s="108" t="s">
        <v>629</v>
      </c>
      <c r="C9" s="90">
        <v>156721.9</v>
      </c>
      <c r="D9" s="138">
        <f>31344.38+125377.52</f>
        <v>156721.9</v>
      </c>
      <c r="E9" s="138"/>
      <c r="F9" s="86" t="str">
        <f t="shared" si="0"/>
        <v>----</v>
      </c>
    </row>
    <row r="10" spans="1:6">
      <c r="A10" s="107">
        <v>44915</v>
      </c>
      <c r="B10" s="108" t="s">
        <v>630</v>
      </c>
      <c r="C10" s="90">
        <v>170342</v>
      </c>
      <c r="D10" s="138">
        <f>34068.4+136273.6</f>
        <v>170342</v>
      </c>
      <c r="E10" s="138"/>
      <c r="F10" s="86" t="str">
        <f t="shared" si="0"/>
        <v>----</v>
      </c>
    </row>
    <row r="11" spans="1:6">
      <c r="A11" s="107">
        <v>44915</v>
      </c>
      <c r="B11" s="108" t="s">
        <v>631</v>
      </c>
      <c r="C11" s="90">
        <v>370578</v>
      </c>
      <c r="D11" s="138">
        <f>74115.6+296462.4</f>
        <v>370578</v>
      </c>
      <c r="E11" s="138"/>
      <c r="F11" s="86" t="str">
        <f t="shared" si="0"/>
        <v>----</v>
      </c>
    </row>
    <row r="12" spans="1:6">
      <c r="A12" s="107">
        <v>44915</v>
      </c>
      <c r="B12" s="108" t="s">
        <v>632</v>
      </c>
      <c r="C12" s="90">
        <v>268230.84999999998</v>
      </c>
      <c r="D12" s="138">
        <f>C12</f>
        <v>268230.84999999998</v>
      </c>
      <c r="E12" s="138"/>
      <c r="F12" s="86" t="str">
        <f t="shared" si="0"/>
        <v>----</v>
      </c>
    </row>
    <row r="13" spans="1:6">
      <c r="A13" s="107"/>
      <c r="B13" s="108"/>
      <c r="C13" s="90"/>
      <c r="D13" s="138"/>
      <c r="E13" s="138"/>
      <c r="F13" s="86" t="str">
        <f t="shared" si="0"/>
        <v>----</v>
      </c>
    </row>
    <row r="14" spans="1:6">
      <c r="A14" s="107"/>
      <c r="B14" s="108"/>
      <c r="C14" s="90"/>
      <c r="D14" s="138"/>
      <c r="E14" s="138"/>
      <c r="F14" s="86" t="str">
        <f t="shared" si="0"/>
        <v>----</v>
      </c>
    </row>
    <row r="15" spans="1:6">
      <c r="A15" s="107"/>
      <c r="B15" s="108"/>
      <c r="C15" s="90"/>
      <c r="D15" s="138"/>
      <c r="E15" s="138"/>
      <c r="F15" s="86" t="str">
        <f t="shared" si="0"/>
        <v>----</v>
      </c>
    </row>
    <row r="16" spans="1:6">
      <c r="A16" s="107"/>
      <c r="B16" s="108"/>
      <c r="C16" s="90"/>
      <c r="D16" s="138"/>
      <c r="E16" s="138"/>
      <c r="F16" s="86" t="str">
        <f t="shared" si="0"/>
        <v>----</v>
      </c>
    </row>
    <row r="17" spans="1:6">
      <c r="A17" s="107"/>
      <c r="B17" s="108"/>
      <c r="C17" s="90"/>
      <c r="D17" s="138"/>
      <c r="E17" s="138"/>
      <c r="F17" s="86" t="str">
        <f t="shared" si="0"/>
        <v>----</v>
      </c>
    </row>
    <row r="18" spans="1:6">
      <c r="A18" s="107"/>
      <c r="B18" s="108"/>
      <c r="C18" s="90"/>
      <c r="D18" s="138"/>
      <c r="E18" s="138"/>
      <c r="F18" s="86" t="str">
        <f t="shared" si="0"/>
        <v>----</v>
      </c>
    </row>
    <row r="19" spans="1:6">
      <c r="A19" s="107"/>
      <c r="B19" s="108"/>
      <c r="C19" s="90"/>
      <c r="D19" s="138"/>
      <c r="E19" s="138"/>
      <c r="F19" s="86" t="str">
        <f t="shared" si="0"/>
        <v>----</v>
      </c>
    </row>
    <row r="20" spans="1:6">
      <c r="A20" s="107"/>
      <c r="B20" s="108"/>
      <c r="C20" s="90"/>
      <c r="D20" s="138"/>
      <c r="E20" s="138"/>
      <c r="F20" s="86" t="str">
        <f t="shared" si="0"/>
        <v>----</v>
      </c>
    </row>
    <row r="21" spans="1:6">
      <c r="A21" s="107"/>
      <c r="B21" s="108"/>
      <c r="C21" s="90"/>
      <c r="D21" s="138"/>
      <c r="E21" s="138"/>
      <c r="F21" s="86" t="str">
        <f t="shared" si="0"/>
        <v>----</v>
      </c>
    </row>
    <row r="22" spans="1:6">
      <c r="A22" s="107"/>
      <c r="B22" s="108"/>
      <c r="C22" s="90"/>
      <c r="D22" s="138"/>
      <c r="E22" s="138"/>
      <c r="F22" s="86" t="str">
        <f t="shared" si="0"/>
        <v>----</v>
      </c>
    </row>
    <row r="23" spans="1:6">
      <c r="A23" s="123"/>
      <c r="B23" s="124"/>
      <c r="C23" s="125"/>
      <c r="D23" s="139"/>
      <c r="E23" s="139"/>
      <c r="F23" s="86" t="str">
        <f t="shared" si="0"/>
        <v>----</v>
      </c>
    </row>
    <row r="24" spans="1:6" ht="15.75" thickBot="1">
      <c r="A24" s="75"/>
      <c r="B24" s="76"/>
      <c r="C24" s="77"/>
      <c r="D24" s="111"/>
      <c r="E24" s="111"/>
      <c r="F24" s="78" t="str">
        <f t="shared" si="0"/>
        <v>----</v>
      </c>
    </row>
    <row r="25" spans="1:6" ht="15.75" thickBot="1">
      <c r="A25" s="28"/>
      <c r="B25" s="28"/>
      <c r="C25" s="29"/>
      <c r="D25" s="29"/>
      <c r="E25" s="29"/>
      <c r="F25" s="70">
        <f>SUM(F3:F24)</f>
        <v>3515.6699999999837</v>
      </c>
    </row>
  </sheetData>
  <mergeCells count="1">
    <mergeCell ref="A1:F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F7"/>
  <sheetViews>
    <sheetView workbookViewId="0">
      <selection sqref="A1:F1"/>
    </sheetView>
  </sheetViews>
  <sheetFormatPr defaultRowHeight="15"/>
  <cols>
    <col min="2" max="2" width="21" bestFit="1" customWidth="1"/>
    <col min="3" max="3" width="11.140625" bestFit="1" customWidth="1"/>
    <col min="4" max="4" width="12.5703125" customWidth="1"/>
  </cols>
  <sheetData>
    <row r="1" spans="1:6" ht="15.75" thickBot="1">
      <c r="A1" s="530" t="s">
        <v>260</v>
      </c>
      <c r="B1" s="531"/>
      <c r="C1" s="531"/>
      <c r="D1" s="531"/>
      <c r="E1" s="531"/>
      <c r="F1" s="532"/>
    </row>
    <row r="2" spans="1:6" ht="69" thickBot="1">
      <c r="A2" s="25" t="s">
        <v>110</v>
      </c>
      <c r="B2" s="79" t="s">
        <v>111</v>
      </c>
      <c r="C2" s="80" t="s">
        <v>112</v>
      </c>
      <c r="D2" s="80" t="s">
        <v>247</v>
      </c>
      <c r="E2" s="80" t="s">
        <v>121</v>
      </c>
      <c r="F2" s="26" t="s">
        <v>113</v>
      </c>
    </row>
    <row r="3" spans="1:6">
      <c r="A3" s="71">
        <v>44124</v>
      </c>
      <c r="B3" s="72" t="s">
        <v>312</v>
      </c>
      <c r="C3" s="73">
        <v>1245346.1399999999</v>
      </c>
      <c r="D3" s="73">
        <v>835696.13</v>
      </c>
      <c r="E3" s="73"/>
      <c r="F3" s="74" t="str">
        <f>IF(ISBLANK($E3),"----",$E3-$D3)</f>
        <v>----</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F21"/>
  <sheetViews>
    <sheetView workbookViewId="0">
      <selection activeCell="A3" sqref="A3:D3"/>
    </sheetView>
  </sheetViews>
  <sheetFormatPr defaultRowHeight="15"/>
  <cols>
    <col min="2" max="2" width="17.42578125" bestFit="1" customWidth="1"/>
    <col min="3" max="4" width="10.7109375" bestFit="1" customWidth="1"/>
  </cols>
  <sheetData>
    <row r="1" spans="1:6" ht="15.75" thickBot="1">
      <c r="A1" s="530" t="s">
        <v>261</v>
      </c>
      <c r="B1" s="531"/>
      <c r="C1" s="531"/>
      <c r="D1" s="531"/>
      <c r="E1" s="531"/>
      <c r="F1" s="532"/>
    </row>
    <row r="2" spans="1:6" ht="69" thickBot="1">
      <c r="A2" s="25" t="s">
        <v>110</v>
      </c>
      <c r="B2" s="79" t="s">
        <v>111</v>
      </c>
      <c r="C2" s="80" t="s">
        <v>112</v>
      </c>
      <c r="D2" s="80" t="s">
        <v>120</v>
      </c>
      <c r="E2" s="80" t="s">
        <v>121</v>
      </c>
      <c r="F2" s="26" t="s">
        <v>113</v>
      </c>
    </row>
    <row r="3" spans="1:6">
      <c r="A3" s="71">
        <v>45251</v>
      </c>
      <c r="B3" s="72" t="s">
        <v>696</v>
      </c>
      <c r="C3" s="73">
        <v>480692.89</v>
      </c>
      <c r="D3" s="73">
        <f>C3</f>
        <v>480692.89</v>
      </c>
      <c r="E3" s="73"/>
      <c r="F3" s="74" t="str">
        <f>IF(ISBLANK($E3),"----",$E3-$D3)</f>
        <v>----</v>
      </c>
    </row>
    <row r="4" spans="1:6">
      <c r="A4" s="91"/>
      <c r="B4" s="106"/>
      <c r="C4" s="85"/>
      <c r="D4" s="85"/>
      <c r="E4" s="85"/>
      <c r="F4" s="86" t="str">
        <f t="shared" ref="F4:F17" si="0">IF(ISBLANK($E4),"----",$E4-$D4)</f>
        <v>----</v>
      </c>
    </row>
    <row r="5" spans="1:6">
      <c r="A5" s="91"/>
      <c r="B5" s="106"/>
      <c r="C5" s="85"/>
      <c r="D5" s="85"/>
      <c r="E5" s="85"/>
      <c r="F5" s="86" t="str">
        <f t="shared" si="0"/>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IF(ISBLANK($E18),"----",$E18-$D18)</f>
        <v>----</v>
      </c>
    </row>
    <row r="19" spans="1:6">
      <c r="A19" s="94"/>
      <c r="B19" s="95"/>
      <c r="C19" s="87"/>
      <c r="D19" s="87"/>
      <c r="E19" s="87"/>
      <c r="F19" s="88" t="str">
        <f>IF(ISBLANK($E19),"----",$E19-$D19)</f>
        <v>----</v>
      </c>
    </row>
    <row r="20" spans="1:6" ht="15.75" thickBot="1">
      <c r="A20" s="75"/>
      <c r="B20" s="76"/>
      <c r="C20" s="77"/>
      <c r="D20" s="77"/>
      <c r="E20" s="77"/>
      <c r="F20" s="78" t="str">
        <f>IF(ISBLANK($E20),"----",$E20-$D20)</f>
        <v>----</v>
      </c>
    </row>
    <row r="21" spans="1:6" ht="15.75" thickBot="1">
      <c r="A21" s="28"/>
      <c r="B21" s="28"/>
      <c r="C21" s="29"/>
      <c r="D21" s="29"/>
      <c r="E21" s="29"/>
      <c r="F21" s="70">
        <f>SUM(F3:F20)</f>
        <v>0</v>
      </c>
    </row>
  </sheetData>
  <mergeCells count="1">
    <mergeCell ref="A1:F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F17"/>
  <sheetViews>
    <sheetView workbookViewId="0">
      <selection activeCell="D8" sqref="D8"/>
    </sheetView>
  </sheetViews>
  <sheetFormatPr defaultRowHeight="15"/>
  <cols>
    <col min="2" max="2" width="23.7109375" bestFit="1" customWidth="1"/>
    <col min="3" max="4" width="10.7109375" bestFit="1" customWidth="1"/>
  </cols>
  <sheetData>
    <row r="1" spans="1:6" ht="15.75" thickBot="1">
      <c r="A1" s="530" t="s">
        <v>262</v>
      </c>
      <c r="B1" s="531"/>
      <c r="C1" s="531"/>
      <c r="D1" s="531"/>
      <c r="E1" s="531"/>
      <c r="F1" s="532"/>
    </row>
    <row r="2" spans="1:6" ht="69" thickBot="1">
      <c r="A2" s="25" t="s">
        <v>110</v>
      </c>
      <c r="B2" s="79" t="s">
        <v>111</v>
      </c>
      <c r="C2" s="80" t="s">
        <v>112</v>
      </c>
      <c r="D2" s="80" t="s">
        <v>120</v>
      </c>
      <c r="E2" s="80" t="s">
        <v>121</v>
      </c>
      <c r="F2" s="26" t="s">
        <v>113</v>
      </c>
    </row>
    <row r="3" spans="1:6">
      <c r="A3" s="71">
        <v>43998</v>
      </c>
      <c r="B3" s="72" t="s">
        <v>376</v>
      </c>
      <c r="C3" s="73">
        <v>439607.15</v>
      </c>
      <c r="D3" s="73">
        <f>C3</f>
        <v>439607.15</v>
      </c>
      <c r="E3" s="73"/>
      <c r="F3" s="74" t="str">
        <f>IF(ISBLANK($E3),"----",$E3-$D3)</f>
        <v>----</v>
      </c>
    </row>
    <row r="4" spans="1:6">
      <c r="A4" s="91">
        <v>44216</v>
      </c>
      <c r="B4" s="106" t="s">
        <v>377</v>
      </c>
      <c r="C4" s="85">
        <v>308610.75</v>
      </c>
      <c r="D4" s="85">
        <v>62820.75</v>
      </c>
      <c r="E4" s="85"/>
      <c r="F4" s="86" t="str">
        <f t="shared" ref="F4:F13" si="0">IF(ISBLANK($E4),"----",$E4-$D4)</f>
        <v>----</v>
      </c>
    </row>
    <row r="5" spans="1:6">
      <c r="A5" s="107">
        <v>44488</v>
      </c>
      <c r="B5" s="108" t="s">
        <v>486</v>
      </c>
      <c r="C5" s="90">
        <v>794590.8</v>
      </c>
      <c r="D5" s="90">
        <f>C5</f>
        <v>794590.8</v>
      </c>
      <c r="E5" s="90"/>
      <c r="F5" s="86" t="str">
        <f t="shared" si="0"/>
        <v>----</v>
      </c>
    </row>
    <row r="6" spans="1:6">
      <c r="A6" s="107">
        <v>44551</v>
      </c>
      <c r="B6" s="279" t="s">
        <v>485</v>
      </c>
      <c r="C6" s="90">
        <v>507684.25</v>
      </c>
      <c r="D6" s="90">
        <f>C6</f>
        <v>507684.25</v>
      </c>
      <c r="E6" s="90"/>
      <c r="F6" s="86" t="str">
        <f t="shared" si="0"/>
        <v>----</v>
      </c>
    </row>
    <row r="7" spans="1:6">
      <c r="A7" s="107">
        <v>44670</v>
      </c>
      <c r="B7" s="108" t="s">
        <v>520</v>
      </c>
      <c r="C7" s="90">
        <v>588114.94999999995</v>
      </c>
      <c r="D7" s="90">
        <f>C7</f>
        <v>588114.94999999995</v>
      </c>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23"/>
      <c r="B13" s="124"/>
      <c r="C13" s="125"/>
      <c r="D13" s="125"/>
      <c r="E13" s="125"/>
      <c r="F13" s="86" t="str">
        <f t="shared" si="0"/>
        <v>----</v>
      </c>
    </row>
    <row r="14" spans="1:6">
      <c r="A14" s="91"/>
      <c r="B14" s="106"/>
      <c r="C14" s="85"/>
      <c r="D14" s="85"/>
      <c r="E14" s="85"/>
      <c r="F14" s="86" t="str">
        <f>IF(ISBLANK($E14),"----",$E14-$D14)</f>
        <v>----</v>
      </c>
    </row>
    <row r="15" spans="1:6">
      <c r="A15" s="94"/>
      <c r="B15" s="95"/>
      <c r="C15" s="87"/>
      <c r="D15" s="87"/>
      <c r="E15" s="87"/>
      <c r="F15" s="88" t="str">
        <f>IF(ISBLANK($E15),"----",$E15-$D15)</f>
        <v>----</v>
      </c>
    </row>
    <row r="16" spans="1:6" ht="15.75" thickBot="1">
      <c r="A16" s="75"/>
      <c r="B16" s="76"/>
      <c r="C16" s="77"/>
      <c r="D16" s="77"/>
      <c r="E16" s="77"/>
      <c r="F16" s="78" t="str">
        <f>IF(ISBLANK($E16),"----",$E16-$D16)</f>
        <v>----</v>
      </c>
    </row>
    <row r="17" spans="1:6" ht="15.75" thickBot="1">
      <c r="A17" s="28"/>
      <c r="B17" s="28"/>
      <c r="C17" s="29"/>
      <c r="D17" s="29"/>
      <c r="E17" s="29"/>
      <c r="F17" s="70">
        <f>SUM(F3:F16)</f>
        <v>0</v>
      </c>
    </row>
  </sheetData>
  <mergeCells count="1">
    <mergeCell ref="A1:F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F20"/>
  <sheetViews>
    <sheetView workbookViewId="0">
      <selection activeCell="E6" sqref="E3:E6"/>
    </sheetView>
  </sheetViews>
  <sheetFormatPr defaultRowHeight="15"/>
  <cols>
    <col min="2" max="2" width="22.5703125" bestFit="1" customWidth="1"/>
    <col min="3" max="3" width="12" bestFit="1" customWidth="1"/>
    <col min="4" max="4" width="15.28515625" customWidth="1"/>
    <col min="5" max="5" width="11.42578125" bestFit="1" customWidth="1"/>
    <col min="6" max="6" width="13.5703125" customWidth="1"/>
  </cols>
  <sheetData>
    <row r="1" spans="1:6" ht="15.75" thickBot="1">
      <c r="A1" s="530" t="s">
        <v>181</v>
      </c>
      <c r="B1" s="531"/>
      <c r="C1" s="531"/>
      <c r="D1" s="531"/>
      <c r="E1" s="531"/>
      <c r="F1" s="532"/>
    </row>
    <row r="2" spans="1:6" ht="46.5" thickBot="1">
      <c r="A2" s="25" t="s">
        <v>110</v>
      </c>
      <c r="B2" s="79" t="s">
        <v>111</v>
      </c>
      <c r="C2" s="80" t="s">
        <v>112</v>
      </c>
      <c r="D2" s="80" t="s">
        <v>120</v>
      </c>
      <c r="E2" s="80" t="s">
        <v>121</v>
      </c>
      <c r="F2" s="26" t="s">
        <v>113</v>
      </c>
    </row>
    <row r="3" spans="1:6">
      <c r="A3" s="71">
        <v>43852</v>
      </c>
      <c r="B3" s="72" t="s">
        <v>200</v>
      </c>
      <c r="C3" s="73">
        <v>1206780.03</v>
      </c>
      <c r="D3" s="73">
        <f>C3</f>
        <v>1206780.03</v>
      </c>
      <c r="E3" s="73">
        <v>1215947.19</v>
      </c>
      <c r="F3" s="74">
        <f>IF(ISBLANK($E3),"----",$E3-$D3)</f>
        <v>9167.1599999999162</v>
      </c>
    </row>
    <row r="4" spans="1:6">
      <c r="A4" s="94">
        <v>44124</v>
      </c>
      <c r="B4" s="95" t="s">
        <v>313</v>
      </c>
      <c r="C4" s="87">
        <v>786173.3</v>
      </c>
      <c r="D4" s="87">
        <v>389452.3</v>
      </c>
      <c r="E4" s="87"/>
      <c r="F4" s="86" t="str">
        <f>IF(ISBLANK($E4),"----",$E4-$D4)</f>
        <v>----</v>
      </c>
    </row>
    <row r="5" spans="1:6">
      <c r="A5" s="107">
        <v>44334</v>
      </c>
      <c r="B5" s="108" t="s">
        <v>432</v>
      </c>
      <c r="C5" s="90">
        <v>821929.8</v>
      </c>
      <c r="D5" s="90">
        <f>C5</f>
        <v>821929.8</v>
      </c>
      <c r="E5" s="90">
        <v>800377.23</v>
      </c>
      <c r="F5" s="86">
        <f t="shared" ref="F5:F18" si="0">IF(ISBLANK($E5),"----",$E5-$D5)</f>
        <v>-21552.570000000065</v>
      </c>
    </row>
    <row r="6" spans="1:6">
      <c r="A6" s="107">
        <v>44460</v>
      </c>
      <c r="B6" s="108" t="s">
        <v>456</v>
      </c>
      <c r="C6" s="90">
        <v>760896.65</v>
      </c>
      <c r="D6" s="90">
        <v>446285.65</v>
      </c>
      <c r="E6" s="90"/>
      <c r="F6" s="86" t="str">
        <f t="shared" si="0"/>
        <v>----</v>
      </c>
    </row>
    <row r="7" spans="1:6">
      <c r="A7" s="107"/>
      <c r="B7" s="108"/>
      <c r="C7" s="90"/>
      <c r="D7" s="90"/>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23"/>
      <c r="B18" s="124"/>
      <c r="C18" s="125"/>
      <c r="D18" s="125"/>
      <c r="E18" s="125"/>
      <c r="F18" s="86" t="str">
        <f t="shared" si="0"/>
        <v>----</v>
      </c>
    </row>
    <row r="19" spans="1:6" ht="15.75" thickBot="1">
      <c r="A19" s="75"/>
      <c r="B19" s="76"/>
      <c r="C19" s="77"/>
      <c r="D19" s="77"/>
      <c r="E19" s="77"/>
      <c r="F19" s="78" t="str">
        <f>IF(ISBLANK($E19),"----",$E19-$D19)</f>
        <v>----</v>
      </c>
    </row>
    <row r="20" spans="1:6" ht="15.75" thickBot="1">
      <c r="A20" s="28"/>
      <c r="B20" s="28"/>
      <c r="C20" s="29"/>
      <c r="D20" s="29"/>
      <c r="E20" s="29"/>
      <c r="F20" s="70">
        <f>SUM(F3:F19)</f>
        <v>-12385.410000000149</v>
      </c>
    </row>
  </sheetData>
  <mergeCells count="1">
    <mergeCell ref="A1:F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F22"/>
  <sheetViews>
    <sheetView workbookViewId="0">
      <selection activeCell="E4" sqref="E4"/>
    </sheetView>
  </sheetViews>
  <sheetFormatPr defaultRowHeight="15"/>
  <cols>
    <col min="2" max="2" width="22.5703125" bestFit="1" customWidth="1"/>
    <col min="3" max="4" width="10.7109375" bestFit="1" customWidth="1"/>
    <col min="5" max="5" width="10.140625" bestFit="1" customWidth="1"/>
    <col min="6" max="6" width="9.42578125" bestFit="1" customWidth="1"/>
  </cols>
  <sheetData>
    <row r="1" spans="1:6" ht="15.75" thickBot="1">
      <c r="A1" s="530" t="s">
        <v>263</v>
      </c>
      <c r="B1" s="531"/>
      <c r="C1" s="531"/>
      <c r="D1" s="531"/>
      <c r="E1" s="531"/>
      <c r="F1" s="532"/>
    </row>
    <row r="2" spans="1:6" ht="57.75" thickBot="1">
      <c r="A2" s="25" t="s">
        <v>110</v>
      </c>
      <c r="B2" s="79" t="s">
        <v>111</v>
      </c>
      <c r="C2" s="80" t="s">
        <v>112</v>
      </c>
      <c r="D2" s="80" t="s">
        <v>120</v>
      </c>
      <c r="E2" s="80" t="s">
        <v>121</v>
      </c>
      <c r="F2" s="26" t="s">
        <v>113</v>
      </c>
    </row>
    <row r="3" spans="1:6">
      <c r="A3" s="71">
        <v>44397</v>
      </c>
      <c r="B3" s="72" t="s">
        <v>442</v>
      </c>
      <c r="C3" s="73">
        <v>335897.75</v>
      </c>
      <c r="D3" s="73">
        <f>C3</f>
        <v>335897.75</v>
      </c>
      <c r="E3" s="73">
        <v>348364.73</v>
      </c>
      <c r="F3" s="74">
        <f>IF(ISBLANK($E3),"----",$E3-$D3)</f>
        <v>12466.979999999981</v>
      </c>
    </row>
    <row r="4" spans="1:6">
      <c r="A4" s="91">
        <v>44397</v>
      </c>
      <c r="B4" s="106" t="s">
        <v>443</v>
      </c>
      <c r="C4" s="85">
        <v>144399.63</v>
      </c>
      <c r="D4" s="85">
        <f>C4</f>
        <v>144399.63</v>
      </c>
      <c r="E4" s="85">
        <v>166173.15</v>
      </c>
      <c r="F4" s="86">
        <f t="shared" ref="F4:F18" si="0">IF(ISBLANK($E4),"----",$E4-$D4)</f>
        <v>21773.51999999999</v>
      </c>
    </row>
    <row r="5" spans="1:6">
      <c r="A5" s="91">
        <v>44789</v>
      </c>
      <c r="B5" s="106" t="s">
        <v>558</v>
      </c>
      <c r="C5" s="85">
        <v>241434.5</v>
      </c>
      <c r="D5" s="85">
        <f>C5</f>
        <v>241434.5</v>
      </c>
      <c r="E5" s="85"/>
      <c r="F5" s="86" t="str">
        <f t="shared" si="0"/>
        <v>----</v>
      </c>
    </row>
    <row r="6" spans="1:6">
      <c r="A6" s="91">
        <v>45097</v>
      </c>
      <c r="B6" s="106" t="s">
        <v>672</v>
      </c>
      <c r="C6" s="85">
        <v>470735</v>
      </c>
      <c r="D6" s="85">
        <f>C6</f>
        <v>470735</v>
      </c>
      <c r="E6" s="85"/>
      <c r="F6" s="86" t="str">
        <f t="shared" si="0"/>
        <v>----</v>
      </c>
    </row>
    <row r="7" spans="1:6">
      <c r="A7" s="91">
        <v>45251</v>
      </c>
      <c r="B7" s="106" t="s">
        <v>692</v>
      </c>
      <c r="C7" s="85">
        <v>434062.5</v>
      </c>
      <c r="D7" s="85">
        <f>C7</f>
        <v>434062.5</v>
      </c>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 t="shared" si="0"/>
        <v>----</v>
      </c>
    </row>
    <row r="19" spans="1:6">
      <c r="A19" s="91"/>
      <c r="B19" s="106"/>
      <c r="C19" s="85"/>
      <c r="D19" s="85"/>
      <c r="E19" s="85"/>
      <c r="F19" s="86" t="str">
        <f>IF(ISBLANK($E19),"----",$E19-$D19)</f>
        <v>----</v>
      </c>
    </row>
    <row r="20" spans="1:6">
      <c r="A20" s="94"/>
      <c r="B20" s="95"/>
      <c r="C20" s="87"/>
      <c r="D20" s="87"/>
      <c r="E20" s="87"/>
      <c r="F20" s="88" t="str">
        <f>IF(ISBLANK($E20),"----",$E20-$D20)</f>
        <v>----</v>
      </c>
    </row>
    <row r="21" spans="1:6" ht="15.75" thickBot="1">
      <c r="A21" s="75"/>
      <c r="B21" s="76"/>
      <c r="C21" s="77"/>
      <c r="D21" s="77"/>
      <c r="E21" s="77"/>
      <c r="F21" s="78" t="str">
        <f>IF(ISBLANK($E21),"----",$E21-$D21)</f>
        <v>----</v>
      </c>
    </row>
    <row r="22" spans="1:6" ht="15.75" thickBot="1">
      <c r="A22" s="28"/>
      <c r="B22" s="28"/>
      <c r="C22" s="29"/>
      <c r="D22" s="29"/>
      <c r="E22" s="29"/>
      <c r="F22" s="70">
        <f>SUM(F3:F21)</f>
        <v>34240.499999999971</v>
      </c>
    </row>
  </sheetData>
  <mergeCells count="1">
    <mergeCell ref="A1:F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F27"/>
  <sheetViews>
    <sheetView workbookViewId="0">
      <selection activeCell="E5" sqref="E3:E5"/>
    </sheetView>
  </sheetViews>
  <sheetFormatPr defaultRowHeight="15"/>
  <cols>
    <col min="2" max="2" width="22.28515625" bestFit="1" customWidth="1"/>
    <col min="3" max="3" width="10.140625" bestFit="1" customWidth="1"/>
    <col min="4" max="4" width="12.5703125" customWidth="1"/>
    <col min="5" max="5" width="10.140625" bestFit="1" customWidth="1"/>
    <col min="6" max="6" width="12.85546875" customWidth="1"/>
  </cols>
  <sheetData>
    <row r="1" spans="1:6" ht="15.75" thickBot="1">
      <c r="A1" s="530" t="s">
        <v>231</v>
      </c>
      <c r="B1" s="531"/>
      <c r="C1" s="531"/>
      <c r="D1" s="531"/>
      <c r="E1" s="531"/>
      <c r="F1" s="532"/>
    </row>
    <row r="2" spans="1:6" ht="46.5" thickBot="1">
      <c r="A2" s="25" t="s">
        <v>110</v>
      </c>
      <c r="B2" s="79" t="s">
        <v>111</v>
      </c>
      <c r="C2" s="80" t="s">
        <v>112</v>
      </c>
      <c r="D2" s="80" t="s">
        <v>120</v>
      </c>
      <c r="E2" s="80" t="s">
        <v>121</v>
      </c>
      <c r="F2" s="26" t="s">
        <v>113</v>
      </c>
    </row>
    <row r="3" spans="1:6">
      <c r="A3" s="71">
        <v>43942</v>
      </c>
      <c r="B3" s="72" t="s">
        <v>508</v>
      </c>
      <c r="C3" s="73">
        <v>374869.85</v>
      </c>
      <c r="D3" s="73">
        <f>C3</f>
        <v>374869.85</v>
      </c>
      <c r="E3" s="73">
        <v>323487.43</v>
      </c>
      <c r="F3" s="74">
        <f>IF(ISBLANK($E3),"----",$E3-$D3)</f>
        <v>-51382.419999999984</v>
      </c>
    </row>
    <row r="4" spans="1:6">
      <c r="A4" s="91">
        <v>44635</v>
      </c>
      <c r="B4" s="106" t="s">
        <v>507</v>
      </c>
      <c r="C4" s="85">
        <v>696218</v>
      </c>
      <c r="D4" s="85">
        <f>C4</f>
        <v>696218</v>
      </c>
      <c r="E4" s="85">
        <v>672789.05</v>
      </c>
      <c r="F4" s="86">
        <f t="shared" ref="F4:F24" si="0">IF(ISBLANK($E4),"----",$E4-$D4)</f>
        <v>-23428.949999999953</v>
      </c>
    </row>
    <row r="5" spans="1:6">
      <c r="A5" s="107"/>
      <c r="B5" s="108"/>
      <c r="C5" s="90"/>
      <c r="D5" s="90"/>
      <c r="E5" s="90"/>
      <c r="F5" s="122" t="str">
        <f t="shared" si="0"/>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07"/>
      <c r="B22" s="108"/>
      <c r="C22" s="90"/>
      <c r="D22" s="90"/>
      <c r="E22" s="90"/>
      <c r="F22" s="122" t="str">
        <f t="shared" si="0"/>
        <v>----</v>
      </c>
    </row>
    <row r="23" spans="1:6">
      <c r="A23" s="107"/>
      <c r="B23" s="108"/>
      <c r="C23" s="90"/>
      <c r="D23" s="90"/>
      <c r="E23" s="90"/>
      <c r="F23" s="122" t="str">
        <f t="shared" si="0"/>
        <v>----</v>
      </c>
    </row>
    <row r="24" spans="1:6">
      <c r="A24" s="107"/>
      <c r="B24" s="108"/>
      <c r="C24" s="90"/>
      <c r="D24" s="90"/>
      <c r="E24" s="90"/>
      <c r="F24" s="122" t="str">
        <f t="shared" si="0"/>
        <v>----</v>
      </c>
    </row>
    <row r="25" spans="1:6">
      <c r="A25" s="123"/>
      <c r="B25" s="124"/>
      <c r="C25" s="125"/>
      <c r="D25" s="125"/>
      <c r="E25" s="125"/>
      <c r="F25" s="126" t="str">
        <f>IF(ISBLANK($E25),"----",$E25-$D25)</f>
        <v>----</v>
      </c>
    </row>
    <row r="26" spans="1:6" ht="15.75" thickBot="1">
      <c r="A26" s="75"/>
      <c r="B26" s="76"/>
      <c r="C26" s="77"/>
      <c r="D26" s="77"/>
      <c r="E26" s="77"/>
      <c r="F26" s="78" t="str">
        <f>IF(ISBLANK($E26),"----",$E26-$D26)</f>
        <v>----</v>
      </c>
    </row>
    <row r="27" spans="1:6" ht="15.75" thickBot="1">
      <c r="A27" s="28"/>
      <c r="B27" s="28"/>
      <c r="C27" s="29"/>
      <c r="D27" s="29"/>
      <c r="E27" s="29"/>
      <c r="F27" s="70">
        <f>SUM(F3:F26)</f>
        <v>-74811.369999999937</v>
      </c>
    </row>
  </sheetData>
  <mergeCells count="1">
    <mergeCell ref="A1:F1"/>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F24"/>
  <sheetViews>
    <sheetView workbookViewId="0">
      <selection activeCell="E6" sqref="E3:E6"/>
    </sheetView>
  </sheetViews>
  <sheetFormatPr defaultRowHeight="15"/>
  <cols>
    <col min="2" max="2" width="22.85546875" bestFit="1" customWidth="1"/>
    <col min="3" max="4" width="10.7109375" bestFit="1" customWidth="1"/>
    <col min="5" max="5" width="10.140625" bestFit="1" customWidth="1"/>
    <col min="6" max="6" width="9.85546875" bestFit="1" customWidth="1"/>
  </cols>
  <sheetData>
    <row r="1" spans="1:6" ht="15.75" thickBot="1">
      <c r="A1" s="530" t="s">
        <v>264</v>
      </c>
      <c r="B1" s="531"/>
      <c r="C1" s="531"/>
      <c r="D1" s="531"/>
      <c r="E1" s="531"/>
      <c r="F1" s="532"/>
    </row>
    <row r="2" spans="1:6" ht="57.75" thickBot="1">
      <c r="A2" s="25" t="s">
        <v>110</v>
      </c>
      <c r="B2" s="79" t="s">
        <v>111</v>
      </c>
      <c r="C2" s="80" t="s">
        <v>112</v>
      </c>
      <c r="D2" s="80" t="s">
        <v>120</v>
      </c>
      <c r="E2" s="80" t="s">
        <v>121</v>
      </c>
      <c r="F2" s="26" t="s">
        <v>113</v>
      </c>
    </row>
    <row r="3" spans="1:6">
      <c r="A3" s="71">
        <v>44124</v>
      </c>
      <c r="B3" s="72" t="s">
        <v>314</v>
      </c>
      <c r="C3" s="73">
        <v>557106.05000000005</v>
      </c>
      <c r="D3" s="73">
        <f>C3</f>
        <v>557106.05000000005</v>
      </c>
      <c r="E3" s="73">
        <v>549318.63</v>
      </c>
      <c r="F3" s="74">
        <f>IF(ISBLANK($E3),"----",$E3-$D3)</f>
        <v>-7787.4200000000419</v>
      </c>
    </row>
    <row r="4" spans="1:6">
      <c r="A4" s="91">
        <v>44153</v>
      </c>
      <c r="B4" s="106" t="s">
        <v>331</v>
      </c>
      <c r="C4" s="85">
        <v>569928.39</v>
      </c>
      <c r="D4" s="85">
        <f>C4</f>
        <v>569928.39</v>
      </c>
      <c r="E4" s="85">
        <v>566691.59</v>
      </c>
      <c r="F4" s="86">
        <f>IF(ISBLANK($E4),"----",$E4-$D4)</f>
        <v>-3236.8000000000466</v>
      </c>
    </row>
    <row r="5" spans="1:6">
      <c r="A5" s="107">
        <v>44516</v>
      </c>
      <c r="B5" s="108" t="s">
        <v>467</v>
      </c>
      <c r="C5" s="90">
        <v>858677.35</v>
      </c>
      <c r="D5" s="90">
        <f>C5</f>
        <v>858677.35</v>
      </c>
      <c r="E5" s="90"/>
      <c r="F5" s="122" t="str">
        <f t="shared" ref="F5:F21" si="0">IF(ISBLANK($E5),"----",$E5-$D5)</f>
        <v>----</v>
      </c>
    </row>
    <row r="6" spans="1:6">
      <c r="A6" s="107">
        <v>44880</v>
      </c>
      <c r="B6" s="108" t="s">
        <v>596</v>
      </c>
      <c r="C6" s="90">
        <v>649706.69999999995</v>
      </c>
      <c r="D6" s="90">
        <f>C6</f>
        <v>649706.69999999995</v>
      </c>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07"/>
      <c r="B22" s="108"/>
      <c r="C22" s="90"/>
      <c r="D22" s="90"/>
      <c r="E22" s="90"/>
      <c r="F22" s="122" t="str">
        <f>IF(ISBLANK($E22),"----",$E22-$D22)</f>
        <v>----</v>
      </c>
    </row>
    <row r="23" spans="1:6" ht="15.75" thickBot="1">
      <c r="A23" s="241"/>
      <c r="B23" s="81"/>
      <c r="C23" s="82"/>
      <c r="D23" s="82"/>
      <c r="E23" s="82"/>
      <c r="F23" s="83" t="str">
        <f>IF(ISBLANK($E23),"----",$E23-$D23)</f>
        <v>----</v>
      </c>
    </row>
    <row r="24" spans="1:6" ht="15.75" thickBot="1">
      <c r="A24" s="28"/>
      <c r="B24" s="28"/>
      <c r="C24" s="29"/>
      <c r="D24" s="29"/>
      <c r="E24" s="29"/>
      <c r="F24" s="70">
        <f>SUM(F3:F23)</f>
        <v>-11024.220000000088</v>
      </c>
    </row>
  </sheetData>
  <mergeCells count="1">
    <mergeCell ref="A1:F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F17"/>
  <sheetViews>
    <sheetView workbookViewId="0">
      <selection activeCell="E3" sqref="E3"/>
    </sheetView>
  </sheetViews>
  <sheetFormatPr defaultRowHeight="15"/>
  <cols>
    <col min="2" max="2" width="22.85546875" bestFit="1" customWidth="1"/>
    <col min="3" max="4" width="12" bestFit="1" customWidth="1"/>
    <col min="5" max="5" width="10.140625" bestFit="1" customWidth="1"/>
    <col min="6" max="6" width="11.5703125" customWidth="1"/>
  </cols>
  <sheetData>
    <row r="1" spans="1:6" ht="15.75" thickBot="1">
      <c r="A1" s="530" t="s">
        <v>265</v>
      </c>
      <c r="B1" s="531"/>
      <c r="C1" s="531"/>
      <c r="D1" s="531"/>
      <c r="E1" s="531"/>
      <c r="F1" s="532"/>
    </row>
    <row r="2" spans="1:6" ht="57.75" thickBot="1">
      <c r="A2" s="25" t="s">
        <v>110</v>
      </c>
      <c r="B2" s="79" t="s">
        <v>111</v>
      </c>
      <c r="C2" s="80" t="s">
        <v>112</v>
      </c>
      <c r="D2" s="80" t="s">
        <v>120</v>
      </c>
      <c r="E2" s="80" t="s">
        <v>121</v>
      </c>
      <c r="F2" s="26" t="s">
        <v>113</v>
      </c>
    </row>
    <row r="3" spans="1:6">
      <c r="A3" s="71">
        <v>44520</v>
      </c>
      <c r="B3" s="72" t="s">
        <v>378</v>
      </c>
      <c r="C3" s="73">
        <v>646553.59999999998</v>
      </c>
      <c r="D3" s="73">
        <f>C3</f>
        <v>646553.59999999998</v>
      </c>
      <c r="E3" s="73">
        <v>645798.68000000005</v>
      </c>
      <c r="F3" s="74">
        <f t="shared" ref="F3:F16" si="0">IF(ISBLANK($E3),"----",$E3-$D3)</f>
        <v>-754.91999999992549</v>
      </c>
    </row>
    <row r="4" spans="1:6">
      <c r="A4" s="91">
        <v>44488</v>
      </c>
      <c r="B4" s="106" t="s">
        <v>462</v>
      </c>
      <c r="C4" s="85">
        <v>1199626.81</v>
      </c>
      <c r="D4" s="85">
        <f>C4</f>
        <v>1199626.81</v>
      </c>
      <c r="E4" s="85"/>
      <c r="F4" s="86" t="str">
        <f t="shared" si="0"/>
        <v>----</v>
      </c>
    </row>
    <row r="5" spans="1:6">
      <c r="A5" s="94">
        <v>44733</v>
      </c>
      <c r="B5" s="95" t="s">
        <v>542</v>
      </c>
      <c r="C5" s="87">
        <v>1595719.15</v>
      </c>
      <c r="D5" s="87">
        <f>C5</f>
        <v>1595719.15</v>
      </c>
      <c r="E5" s="87"/>
      <c r="F5" s="88" t="str">
        <f t="shared" si="0"/>
        <v>----</v>
      </c>
    </row>
    <row r="6" spans="1:6">
      <c r="A6" s="91"/>
      <c r="B6" s="106"/>
      <c r="C6" s="85"/>
      <c r="D6" s="85"/>
      <c r="E6" s="85"/>
      <c r="F6" s="86" t="str">
        <f t="shared" si="0"/>
        <v>----</v>
      </c>
    </row>
    <row r="7" spans="1:6">
      <c r="A7" s="94"/>
      <c r="B7" s="95"/>
      <c r="C7" s="87"/>
      <c r="D7" s="87"/>
      <c r="E7" s="87"/>
      <c r="F7" s="88" t="str">
        <f t="shared" si="0"/>
        <v>----</v>
      </c>
    </row>
    <row r="8" spans="1:6">
      <c r="A8" s="91"/>
      <c r="B8" s="106"/>
      <c r="C8" s="85"/>
      <c r="D8" s="85"/>
      <c r="E8" s="85"/>
      <c r="F8" s="86" t="str">
        <f t="shared" si="0"/>
        <v>----</v>
      </c>
    </row>
    <row r="9" spans="1:6">
      <c r="A9" s="94"/>
      <c r="B9" s="95"/>
      <c r="C9" s="87"/>
      <c r="D9" s="87"/>
      <c r="E9" s="87"/>
      <c r="F9" s="88" t="str">
        <f t="shared" si="0"/>
        <v>----</v>
      </c>
    </row>
    <row r="10" spans="1:6">
      <c r="A10" s="91"/>
      <c r="B10" s="106"/>
      <c r="C10" s="85"/>
      <c r="D10" s="85"/>
      <c r="E10" s="85"/>
      <c r="F10" s="86" t="str">
        <f t="shared" si="0"/>
        <v>----</v>
      </c>
    </row>
    <row r="11" spans="1:6">
      <c r="A11" s="94"/>
      <c r="B11" s="95"/>
      <c r="C11" s="87"/>
      <c r="D11" s="87"/>
      <c r="E11" s="87"/>
      <c r="F11" s="88" t="str">
        <f t="shared" si="0"/>
        <v>----</v>
      </c>
    </row>
    <row r="12" spans="1:6">
      <c r="A12" s="91"/>
      <c r="B12" s="106"/>
      <c r="C12" s="85"/>
      <c r="D12" s="85"/>
      <c r="E12" s="85"/>
      <c r="F12" s="86" t="str">
        <f t="shared" si="0"/>
        <v>----</v>
      </c>
    </row>
    <row r="13" spans="1:6">
      <c r="A13" s="94"/>
      <c r="B13" s="95"/>
      <c r="C13" s="87"/>
      <c r="D13" s="87"/>
      <c r="E13" s="87"/>
      <c r="F13" s="88" t="str">
        <f t="shared" si="0"/>
        <v>----</v>
      </c>
    </row>
    <row r="14" spans="1:6">
      <c r="A14" s="91"/>
      <c r="B14" s="106"/>
      <c r="C14" s="85"/>
      <c r="D14" s="85"/>
      <c r="E14" s="85"/>
      <c r="F14" s="86" t="str">
        <f t="shared" si="0"/>
        <v>----</v>
      </c>
    </row>
    <row r="15" spans="1:6">
      <c r="A15" s="94"/>
      <c r="B15" s="95"/>
      <c r="C15" s="87"/>
      <c r="D15" s="87"/>
      <c r="E15" s="87"/>
      <c r="F15" s="88" t="str">
        <f t="shared" si="0"/>
        <v>----</v>
      </c>
    </row>
    <row r="16" spans="1:6" ht="15.75" thickBot="1">
      <c r="A16" s="75"/>
      <c r="B16" s="76"/>
      <c r="C16" s="77"/>
      <c r="D16" s="77"/>
      <c r="E16" s="77"/>
      <c r="F16" s="78" t="str">
        <f t="shared" si="0"/>
        <v>----</v>
      </c>
    </row>
    <row r="17" spans="1:6" ht="15.75" thickBot="1">
      <c r="A17" s="28"/>
      <c r="B17" s="28"/>
      <c r="C17" s="29"/>
      <c r="D17" s="29"/>
      <c r="E17" s="29"/>
      <c r="F17" s="70">
        <f>SUM(F3:F16)</f>
        <v>-754.91999999992549</v>
      </c>
    </row>
  </sheetData>
  <mergeCells count="1">
    <mergeCell ref="A1:F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G16"/>
  <sheetViews>
    <sheetView workbookViewId="0">
      <selection activeCell="E3" sqref="E3"/>
    </sheetView>
  </sheetViews>
  <sheetFormatPr defaultRowHeight="15"/>
  <cols>
    <col min="2" max="2" width="22.85546875" bestFit="1" customWidth="1"/>
    <col min="3" max="3" width="10.7109375" bestFit="1" customWidth="1"/>
    <col min="4" max="4" width="12.28515625" customWidth="1"/>
    <col min="5" max="5" width="9.5703125" bestFit="1" customWidth="1"/>
    <col min="6" max="6" width="12.42578125" customWidth="1"/>
  </cols>
  <sheetData>
    <row r="1" spans="1:7" ht="15.75" thickBot="1">
      <c r="A1" s="530" t="s">
        <v>125</v>
      </c>
      <c r="B1" s="531"/>
      <c r="C1" s="531"/>
      <c r="D1" s="531"/>
      <c r="E1" s="531"/>
      <c r="F1" s="532"/>
    </row>
    <row r="2" spans="1:7" ht="57.75" thickBot="1">
      <c r="A2" s="25" t="s">
        <v>110</v>
      </c>
      <c r="B2" s="79" t="s">
        <v>111</v>
      </c>
      <c r="C2" s="80" t="s">
        <v>112</v>
      </c>
      <c r="D2" s="80" t="s">
        <v>120</v>
      </c>
      <c r="E2" s="80" t="s">
        <v>121</v>
      </c>
      <c r="F2" s="26" t="s">
        <v>113</v>
      </c>
    </row>
    <row r="3" spans="1:7">
      <c r="A3" s="96">
        <v>43970</v>
      </c>
      <c r="B3" s="97" t="s">
        <v>115</v>
      </c>
      <c r="C3" s="417">
        <f>640781.26/2</f>
        <v>320390.63</v>
      </c>
      <c r="D3" s="417">
        <f>C3</f>
        <v>320390.63</v>
      </c>
      <c r="E3" s="417">
        <f>625333.47/2</f>
        <v>312666.73499999999</v>
      </c>
      <c r="F3" s="419">
        <f>IF(ISBLANK($E3),"----",$E3-$D3)</f>
        <v>-7723.8950000000186</v>
      </c>
      <c r="G3" t="s">
        <v>131</v>
      </c>
    </row>
    <row r="4" spans="1:7">
      <c r="A4" s="214">
        <v>45034</v>
      </c>
      <c r="B4" s="106" t="s">
        <v>665</v>
      </c>
      <c r="C4" s="420">
        <v>538162.19999999995</v>
      </c>
      <c r="D4" s="421">
        <f>C4</f>
        <v>538162.19999999995</v>
      </c>
      <c r="E4" s="420"/>
      <c r="F4" s="422"/>
    </row>
    <row r="5" spans="1:7">
      <c r="A5" s="416"/>
      <c r="B5" s="108"/>
      <c r="C5" s="423"/>
      <c r="D5" s="418"/>
      <c r="E5" s="423"/>
      <c r="F5" s="424"/>
    </row>
    <row r="6" spans="1:7">
      <c r="A6" s="416"/>
      <c r="B6" s="108"/>
      <c r="C6" s="423"/>
      <c r="D6" s="423"/>
      <c r="E6" s="423"/>
      <c r="F6" s="424"/>
    </row>
    <row r="7" spans="1:7">
      <c r="A7" s="416"/>
      <c r="B7" s="108"/>
      <c r="C7" s="423"/>
      <c r="D7" s="423"/>
      <c r="E7" s="423"/>
      <c r="F7" s="424"/>
    </row>
    <row r="8" spans="1:7">
      <c r="A8" s="416"/>
      <c r="B8" s="108"/>
      <c r="C8" s="423"/>
      <c r="D8" s="423"/>
      <c r="E8" s="423"/>
      <c r="F8" s="424"/>
    </row>
    <row r="9" spans="1:7">
      <c r="A9" s="416"/>
      <c r="B9" s="108"/>
      <c r="C9" s="423"/>
      <c r="D9" s="423"/>
      <c r="E9" s="423"/>
      <c r="F9" s="424"/>
    </row>
    <row r="10" spans="1:7">
      <c r="A10" s="416"/>
      <c r="B10" s="108"/>
      <c r="C10" s="423"/>
      <c r="D10" s="423"/>
      <c r="E10" s="423"/>
      <c r="F10" s="424"/>
    </row>
    <row r="11" spans="1:7">
      <c r="A11" s="416"/>
      <c r="B11" s="108"/>
      <c r="C11" s="423"/>
      <c r="D11" s="423"/>
      <c r="E11" s="423"/>
      <c r="F11" s="424"/>
    </row>
    <row r="12" spans="1:7">
      <c r="A12" s="416"/>
      <c r="B12" s="108"/>
      <c r="C12" s="423"/>
      <c r="D12" s="423"/>
      <c r="E12" s="423"/>
      <c r="F12" s="424"/>
    </row>
    <row r="13" spans="1:7">
      <c r="A13" s="94"/>
      <c r="B13" s="95"/>
      <c r="C13" s="110"/>
      <c r="D13" s="110"/>
      <c r="E13" s="110"/>
      <c r="F13" s="425" t="str">
        <f>IF(ISBLANK($E13),"----",$E13-$D13)</f>
        <v>----</v>
      </c>
    </row>
    <row r="14" spans="1:7" ht="15.75" thickBot="1">
      <c r="A14" s="75"/>
      <c r="B14" s="76"/>
      <c r="C14" s="111"/>
      <c r="D14" s="111"/>
      <c r="E14" s="111"/>
      <c r="F14" s="426" t="str">
        <f>IF(ISBLANK($E14),"----",$E14-$D14)</f>
        <v>----</v>
      </c>
    </row>
    <row r="15" spans="1:7" ht="15.75" thickBot="1">
      <c r="A15" s="28"/>
      <c r="B15" s="28"/>
      <c r="C15" s="29"/>
      <c r="D15" s="29"/>
      <c r="E15" s="29"/>
      <c r="F15" s="70">
        <f>SUM(F3:F14)</f>
        <v>-7723.8950000000186</v>
      </c>
    </row>
    <row r="16" spans="1:7">
      <c r="A16" s="30"/>
      <c r="B16" s="30"/>
      <c r="C16" s="30"/>
      <c r="D16" s="30"/>
      <c r="E16" s="30"/>
      <c r="F16" s="30"/>
    </row>
  </sheetData>
  <mergeCells count="1">
    <mergeCell ref="A1:F1"/>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G26"/>
  <sheetViews>
    <sheetView workbookViewId="0">
      <selection activeCell="E8" sqref="E3:E8"/>
    </sheetView>
  </sheetViews>
  <sheetFormatPr defaultRowHeight="15"/>
  <cols>
    <col min="2" max="2" width="22.85546875" bestFit="1" customWidth="1"/>
    <col min="3" max="3" width="12" bestFit="1" customWidth="1"/>
    <col min="4" max="4" width="12.7109375" customWidth="1"/>
    <col min="5" max="5" width="10.140625" bestFit="1" customWidth="1"/>
    <col min="6" max="6" width="14.5703125" customWidth="1"/>
  </cols>
  <sheetData>
    <row r="1" spans="1:7" ht="15.75" thickBot="1">
      <c r="A1" s="530" t="s">
        <v>232</v>
      </c>
      <c r="B1" s="531"/>
      <c r="C1" s="531"/>
      <c r="D1" s="531"/>
      <c r="E1" s="531"/>
      <c r="F1" s="532"/>
    </row>
    <row r="2" spans="1:7" ht="46.5" thickBot="1">
      <c r="A2" s="25" t="s">
        <v>110</v>
      </c>
      <c r="B2" s="79" t="s">
        <v>111</v>
      </c>
      <c r="C2" s="80" t="s">
        <v>112</v>
      </c>
      <c r="D2" s="80" t="s">
        <v>120</v>
      </c>
      <c r="E2" s="80" t="s">
        <v>121</v>
      </c>
      <c r="F2" s="26" t="s">
        <v>113</v>
      </c>
    </row>
    <row r="3" spans="1:7">
      <c r="A3" s="71">
        <v>43942</v>
      </c>
      <c r="B3" s="72" t="s">
        <v>245</v>
      </c>
      <c r="C3" s="73">
        <v>267343</v>
      </c>
      <c r="D3" s="73">
        <f>C3</f>
        <v>267343</v>
      </c>
      <c r="E3" s="73">
        <v>266954.32</v>
      </c>
      <c r="F3" s="74">
        <f>IF(ISBLANK($E3),"----",$E3-$D3)</f>
        <v>-388.67999999999302</v>
      </c>
    </row>
    <row r="4" spans="1:7">
      <c r="A4" s="91">
        <v>43942</v>
      </c>
      <c r="B4" s="106" t="s">
        <v>246</v>
      </c>
      <c r="C4" s="85">
        <v>359699.4</v>
      </c>
      <c r="D4" s="85">
        <f>C4</f>
        <v>359699.4</v>
      </c>
      <c r="E4" s="85">
        <v>360184.68</v>
      </c>
      <c r="F4" s="86">
        <f>IF(ISBLANK($E4),"----",$E4-$D4)</f>
        <v>485.27999999996973</v>
      </c>
    </row>
    <row r="5" spans="1:7">
      <c r="A5" s="107">
        <v>44306</v>
      </c>
      <c r="B5" s="108" t="s">
        <v>426</v>
      </c>
      <c r="C5" s="90">
        <v>691838.93</v>
      </c>
      <c r="D5" s="90">
        <v>418738.93</v>
      </c>
      <c r="E5" s="90">
        <v>423991.46</v>
      </c>
      <c r="F5" s="122">
        <f t="shared" ref="F5:F24" si="0">IF(ISBLANK($E5),"----",$E5-$D5)</f>
        <v>5252.5300000000279</v>
      </c>
      <c r="G5" t="s">
        <v>425</v>
      </c>
    </row>
    <row r="6" spans="1:7">
      <c r="A6" s="107">
        <v>44915</v>
      </c>
      <c r="B6" s="108" t="s">
        <v>633</v>
      </c>
      <c r="C6" s="90">
        <v>592830.35</v>
      </c>
      <c r="D6" s="90">
        <f>C6</f>
        <v>592830.35</v>
      </c>
      <c r="E6" s="90"/>
      <c r="F6" s="122" t="str">
        <f t="shared" si="0"/>
        <v>----</v>
      </c>
    </row>
    <row r="7" spans="1:7">
      <c r="A7" s="107">
        <v>45251</v>
      </c>
      <c r="B7" s="108" t="s">
        <v>697</v>
      </c>
      <c r="C7" s="90">
        <v>346590.04</v>
      </c>
      <c r="D7" s="90">
        <f>C7</f>
        <v>346590.04</v>
      </c>
      <c r="E7" s="90"/>
      <c r="F7" s="122" t="str">
        <f t="shared" si="0"/>
        <v>----</v>
      </c>
    </row>
    <row r="8" spans="1:7">
      <c r="A8" s="107">
        <v>45279</v>
      </c>
      <c r="B8" s="108" t="s">
        <v>707</v>
      </c>
      <c r="C8" s="415">
        <v>1729293.54</v>
      </c>
      <c r="D8" s="415">
        <v>1383434.83</v>
      </c>
      <c r="E8" s="90"/>
      <c r="F8" s="122" t="str">
        <f t="shared" si="0"/>
        <v>----</v>
      </c>
      <c r="G8" t="s">
        <v>712</v>
      </c>
    </row>
    <row r="9" spans="1:7">
      <c r="A9" s="107"/>
      <c r="B9" s="108"/>
      <c r="C9" s="90"/>
      <c r="D9" s="90"/>
      <c r="E9" s="90"/>
      <c r="F9" s="122" t="str">
        <f t="shared" si="0"/>
        <v>----</v>
      </c>
    </row>
    <row r="10" spans="1:7">
      <c r="A10" s="107"/>
      <c r="B10" s="108"/>
      <c r="C10" s="90"/>
      <c r="D10" s="90"/>
      <c r="E10" s="90"/>
      <c r="F10" s="122" t="str">
        <f t="shared" si="0"/>
        <v>----</v>
      </c>
    </row>
    <row r="11" spans="1:7">
      <c r="A11" s="107"/>
      <c r="B11" s="108"/>
      <c r="C11" s="90"/>
      <c r="D11" s="90"/>
      <c r="E11" s="90"/>
      <c r="F11" s="122" t="str">
        <f t="shared" si="0"/>
        <v>----</v>
      </c>
    </row>
    <row r="12" spans="1:7">
      <c r="A12" s="107"/>
      <c r="B12" s="108"/>
      <c r="C12" s="90"/>
      <c r="D12" s="90"/>
      <c r="E12" s="90"/>
      <c r="F12" s="122" t="str">
        <f t="shared" si="0"/>
        <v>----</v>
      </c>
    </row>
    <row r="13" spans="1:7">
      <c r="A13" s="107"/>
      <c r="B13" s="108"/>
      <c r="C13" s="90"/>
      <c r="D13" s="90"/>
      <c r="E13" s="90"/>
      <c r="F13" s="122" t="str">
        <f t="shared" si="0"/>
        <v>----</v>
      </c>
    </row>
    <row r="14" spans="1:7">
      <c r="A14" s="107"/>
      <c r="B14" s="108"/>
      <c r="C14" s="90"/>
      <c r="D14" s="90"/>
      <c r="E14" s="90"/>
      <c r="F14" s="122" t="str">
        <f t="shared" si="0"/>
        <v>----</v>
      </c>
    </row>
    <row r="15" spans="1:7">
      <c r="A15" s="107"/>
      <c r="B15" s="108"/>
      <c r="C15" s="90"/>
      <c r="D15" s="90"/>
      <c r="E15" s="90"/>
      <c r="F15" s="122" t="str">
        <f t="shared" si="0"/>
        <v>----</v>
      </c>
    </row>
    <row r="16" spans="1:7">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07"/>
      <c r="B22" s="108"/>
      <c r="C22" s="90"/>
      <c r="D22" s="90"/>
      <c r="E22" s="90"/>
      <c r="F22" s="122" t="str">
        <f t="shared" si="0"/>
        <v>----</v>
      </c>
    </row>
    <row r="23" spans="1:6">
      <c r="A23" s="107"/>
      <c r="B23" s="108"/>
      <c r="C23" s="90"/>
      <c r="D23" s="90"/>
      <c r="E23" s="90"/>
      <c r="F23" s="122" t="str">
        <f t="shared" si="0"/>
        <v>----</v>
      </c>
    </row>
    <row r="24" spans="1:6">
      <c r="A24" s="123"/>
      <c r="B24" s="124"/>
      <c r="C24" s="125"/>
      <c r="D24" s="125"/>
      <c r="E24" s="125"/>
      <c r="F24" s="126" t="str">
        <f t="shared" si="0"/>
        <v>----</v>
      </c>
    </row>
    <row r="25" spans="1:6" ht="15.75" thickBot="1">
      <c r="A25" s="75"/>
      <c r="B25" s="76"/>
      <c r="C25" s="77"/>
      <c r="D25" s="77"/>
      <c r="E25" s="77"/>
      <c r="F25" s="78" t="str">
        <f>IF(ISBLANK($E25),"----",$E25-$D25)</f>
        <v>----</v>
      </c>
    </row>
    <row r="26" spans="1:6" ht="15.75" thickBot="1">
      <c r="A26" s="28"/>
      <c r="B26" s="28"/>
      <c r="C26" s="29"/>
      <c r="D26" s="29"/>
      <c r="E26" s="29"/>
      <c r="F26" s="70">
        <f>SUM(F3:F25)</f>
        <v>5349.1300000000047</v>
      </c>
    </row>
  </sheetData>
  <mergeCells count="1">
    <mergeCell ref="A1:F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F21"/>
  <sheetViews>
    <sheetView workbookViewId="0">
      <selection activeCell="E4" sqref="E4"/>
    </sheetView>
  </sheetViews>
  <sheetFormatPr defaultRowHeight="15"/>
  <cols>
    <col min="2" max="2" width="22.85546875" bestFit="1" customWidth="1"/>
    <col min="3" max="3" width="10.7109375" bestFit="1" customWidth="1"/>
    <col min="4" max="4" width="12.140625" customWidth="1"/>
    <col min="5" max="5" width="10.140625" bestFit="1" customWidth="1"/>
    <col min="6" max="6" width="12" customWidth="1"/>
  </cols>
  <sheetData>
    <row r="1" spans="1:6" ht="15.75" thickBot="1">
      <c r="A1" s="530" t="s">
        <v>217</v>
      </c>
      <c r="B1" s="531"/>
      <c r="C1" s="531"/>
      <c r="D1" s="531"/>
      <c r="E1" s="531"/>
      <c r="F1" s="532"/>
    </row>
    <row r="2" spans="1:6" ht="57.75" thickBot="1">
      <c r="A2" s="25" t="s">
        <v>110</v>
      </c>
      <c r="B2" s="79" t="s">
        <v>111</v>
      </c>
      <c r="C2" s="80" t="s">
        <v>112</v>
      </c>
      <c r="D2" s="80" t="s">
        <v>120</v>
      </c>
      <c r="E2" s="80" t="s">
        <v>121</v>
      </c>
      <c r="F2" s="26" t="s">
        <v>113</v>
      </c>
    </row>
    <row r="3" spans="1:6">
      <c r="A3" s="71">
        <v>43879</v>
      </c>
      <c r="B3" s="72" t="s">
        <v>218</v>
      </c>
      <c r="C3" s="73">
        <v>393213.65</v>
      </c>
      <c r="D3" s="73">
        <f>C3</f>
        <v>393213.65</v>
      </c>
      <c r="E3" s="73"/>
      <c r="F3" s="74" t="str">
        <f t="shared" ref="F3:F20" si="0">IF(ISBLANK($E3),"----",$E3-$D3)</f>
        <v>----</v>
      </c>
    </row>
    <row r="4" spans="1:6">
      <c r="A4" s="91">
        <v>44216</v>
      </c>
      <c r="B4" s="106" t="s">
        <v>379</v>
      </c>
      <c r="C4" s="85">
        <v>103125.5</v>
      </c>
      <c r="D4" s="85">
        <f>C4</f>
        <v>103125.5</v>
      </c>
      <c r="E4" s="85">
        <v>104313.75</v>
      </c>
      <c r="F4" s="86">
        <f t="shared" si="0"/>
        <v>1188.25</v>
      </c>
    </row>
    <row r="5" spans="1:6">
      <c r="A5" s="107">
        <v>44880</v>
      </c>
      <c r="B5" s="108" t="s">
        <v>597</v>
      </c>
      <c r="C5" s="90">
        <v>205316</v>
      </c>
      <c r="D5" s="90">
        <f>C5</f>
        <v>205316</v>
      </c>
      <c r="E5" s="90"/>
      <c r="F5" s="122" t="str">
        <f t="shared" si="0"/>
        <v>----</v>
      </c>
    </row>
    <row r="6" spans="1:6">
      <c r="A6" s="107">
        <v>44880</v>
      </c>
      <c r="B6" s="108" t="s">
        <v>598</v>
      </c>
      <c r="C6" s="90">
        <v>764936</v>
      </c>
      <c r="D6" s="90">
        <f>C6</f>
        <v>764936</v>
      </c>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23"/>
      <c r="B19" s="124"/>
      <c r="C19" s="125"/>
      <c r="D19" s="125"/>
      <c r="E19" s="125"/>
      <c r="F19" s="126" t="str">
        <f t="shared" si="0"/>
        <v>----</v>
      </c>
    </row>
    <row r="20" spans="1:6" ht="15.75" thickBot="1">
      <c r="A20" s="75"/>
      <c r="B20" s="76"/>
      <c r="C20" s="77"/>
      <c r="D20" s="77"/>
      <c r="E20" s="77"/>
      <c r="F20" s="78" t="str">
        <f t="shared" si="0"/>
        <v>----</v>
      </c>
    </row>
    <row r="21" spans="1:6" ht="15.75" thickBot="1">
      <c r="A21" s="28"/>
      <c r="B21" s="28"/>
      <c r="C21" s="29"/>
      <c r="D21" s="29"/>
      <c r="E21" s="29"/>
      <c r="F21" s="70">
        <f>SUM(F3:F20)</f>
        <v>1188.25</v>
      </c>
    </row>
  </sheetData>
  <mergeCells count="1">
    <mergeCell ref="A1:F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F9"/>
  <sheetViews>
    <sheetView workbookViewId="0">
      <selection activeCell="E5" sqref="E3:E5"/>
    </sheetView>
  </sheetViews>
  <sheetFormatPr defaultRowHeight="15"/>
  <cols>
    <col min="2" max="2" width="20.5703125" bestFit="1" customWidth="1"/>
    <col min="3" max="3" width="10.140625" bestFit="1" customWidth="1"/>
    <col min="4" max="4" width="12" customWidth="1"/>
    <col min="5" max="5" width="10.28515625" customWidth="1"/>
    <col min="6" max="6" width="12.5703125" customWidth="1"/>
  </cols>
  <sheetData>
    <row r="1" spans="1:6" ht="15.75" thickBot="1">
      <c r="A1" s="530" t="s">
        <v>182</v>
      </c>
      <c r="B1" s="531"/>
      <c r="C1" s="531"/>
      <c r="D1" s="531"/>
      <c r="E1" s="531"/>
      <c r="F1" s="532"/>
    </row>
    <row r="2" spans="1:6" ht="57.75" thickBot="1">
      <c r="A2" s="25" t="s">
        <v>110</v>
      </c>
      <c r="B2" s="79" t="s">
        <v>111</v>
      </c>
      <c r="C2" s="80" t="s">
        <v>112</v>
      </c>
      <c r="D2" s="80" t="s">
        <v>120</v>
      </c>
      <c r="E2" s="80" t="s">
        <v>121</v>
      </c>
      <c r="F2" s="26" t="s">
        <v>113</v>
      </c>
    </row>
    <row r="3" spans="1:6">
      <c r="A3" s="71">
        <v>43852</v>
      </c>
      <c r="B3" s="72" t="s">
        <v>199</v>
      </c>
      <c r="C3" s="73">
        <v>356465.93</v>
      </c>
      <c r="D3" s="73">
        <f>C3</f>
        <v>356465.93</v>
      </c>
      <c r="E3" s="73">
        <v>361583.6</v>
      </c>
      <c r="F3" s="74">
        <f t="shared" ref="F3:F8" si="0">IF(ISBLANK($E3),"----",$E3-$D3)</f>
        <v>5117.6699999999837</v>
      </c>
    </row>
    <row r="4" spans="1:6">
      <c r="A4" s="91">
        <v>43942</v>
      </c>
      <c r="B4" s="106" t="s">
        <v>243</v>
      </c>
      <c r="C4" s="85">
        <v>691772.2</v>
      </c>
      <c r="D4" s="85">
        <f>C4</f>
        <v>691772.2</v>
      </c>
      <c r="E4" s="85">
        <v>676290.05</v>
      </c>
      <c r="F4" s="86">
        <f t="shared" si="0"/>
        <v>-15482.149999999907</v>
      </c>
    </row>
    <row r="5" spans="1:6">
      <c r="A5" s="91">
        <v>43942</v>
      </c>
      <c r="B5" s="106" t="s">
        <v>244</v>
      </c>
      <c r="C5" s="85">
        <v>285958.26</v>
      </c>
      <c r="D5" s="85">
        <f>C5</f>
        <v>285958.26</v>
      </c>
      <c r="E5" s="85"/>
      <c r="F5" s="86" t="str">
        <f t="shared" si="0"/>
        <v>----</v>
      </c>
    </row>
    <row r="6" spans="1:6">
      <c r="A6" s="91"/>
      <c r="B6" s="106"/>
      <c r="C6" s="85"/>
      <c r="D6" s="85"/>
      <c r="E6" s="85"/>
      <c r="F6" s="86" t="str">
        <f t="shared" si="0"/>
        <v>----</v>
      </c>
    </row>
    <row r="7" spans="1:6">
      <c r="A7" s="91"/>
      <c r="B7" s="106"/>
      <c r="C7" s="85"/>
      <c r="D7" s="85"/>
      <c r="E7" s="85"/>
      <c r="F7" s="86" t="str">
        <f t="shared" si="0"/>
        <v>----</v>
      </c>
    </row>
    <row r="8" spans="1:6" ht="15.75" thickBot="1">
      <c r="A8" s="75"/>
      <c r="B8" s="76"/>
      <c r="C8" s="77"/>
      <c r="D8" s="77"/>
      <c r="E8" s="77"/>
      <c r="F8" s="78" t="str">
        <f t="shared" si="0"/>
        <v>----</v>
      </c>
    </row>
    <row r="9" spans="1:6" ht="15.75" thickBot="1">
      <c r="A9" s="28"/>
      <c r="B9" s="28"/>
      <c r="C9" s="29"/>
      <c r="D9" s="29"/>
      <c r="E9" s="29"/>
      <c r="F9" s="70">
        <f>SUM(F3:F8)</f>
        <v>-10364.479999999923</v>
      </c>
    </row>
  </sheetData>
  <mergeCells count="1">
    <mergeCell ref="A1:F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F22"/>
  <sheetViews>
    <sheetView workbookViewId="0">
      <selection activeCell="E5" sqref="E4:E5"/>
    </sheetView>
  </sheetViews>
  <sheetFormatPr defaultRowHeight="15"/>
  <cols>
    <col min="2" max="2" width="22.85546875" bestFit="1" customWidth="1"/>
    <col min="3" max="3" width="10.7109375" bestFit="1" customWidth="1"/>
    <col min="4" max="4" width="11.140625" customWidth="1"/>
    <col min="5" max="5" width="10.140625" bestFit="1" customWidth="1"/>
    <col min="6" max="6" width="11.85546875" customWidth="1"/>
  </cols>
  <sheetData>
    <row r="1" spans="1:6" ht="15.75" thickBot="1">
      <c r="A1" s="530" t="s">
        <v>183</v>
      </c>
      <c r="B1" s="531"/>
      <c r="C1" s="531"/>
      <c r="D1" s="531"/>
      <c r="E1" s="531"/>
      <c r="F1" s="532"/>
    </row>
    <row r="2" spans="1:6" ht="57.75" thickBot="1">
      <c r="A2" s="25" t="s">
        <v>110</v>
      </c>
      <c r="B2" s="79" t="s">
        <v>111</v>
      </c>
      <c r="C2" s="80" t="s">
        <v>112</v>
      </c>
      <c r="D2" s="80" t="s">
        <v>120</v>
      </c>
      <c r="E2" s="80" t="s">
        <v>121</v>
      </c>
      <c r="F2" s="26" t="s">
        <v>113</v>
      </c>
    </row>
    <row r="3" spans="1:6">
      <c r="A3" s="71">
        <v>43852</v>
      </c>
      <c r="B3" s="72" t="s">
        <v>198</v>
      </c>
      <c r="C3" s="73">
        <v>370916</v>
      </c>
      <c r="D3" s="73">
        <f>C3</f>
        <v>370916</v>
      </c>
      <c r="E3" s="73"/>
      <c r="F3" s="74" t="str">
        <f>IF(ISBLANK($E3),"----",$E3-$D3)</f>
        <v>----</v>
      </c>
    </row>
    <row r="4" spans="1:6">
      <c r="A4" s="91">
        <v>44243</v>
      </c>
      <c r="B4" s="106" t="s">
        <v>400</v>
      </c>
      <c r="C4" s="85">
        <v>475510.3</v>
      </c>
      <c r="D4" s="85">
        <f>C4</f>
        <v>475510.3</v>
      </c>
      <c r="E4" s="85">
        <v>473971.95</v>
      </c>
      <c r="F4" s="86">
        <f>IF(ISBLANK($E4),"----",$E4-$D4)</f>
        <v>-1538.3499999999767</v>
      </c>
    </row>
    <row r="5" spans="1:6">
      <c r="A5" s="107">
        <v>44635</v>
      </c>
      <c r="B5" s="108" t="s">
        <v>509</v>
      </c>
      <c r="C5" s="90">
        <v>651352.75</v>
      </c>
      <c r="D5" s="90">
        <f>C5</f>
        <v>651352.75</v>
      </c>
      <c r="E5" s="90">
        <v>656835.97</v>
      </c>
      <c r="F5" s="86">
        <f t="shared" ref="F5:F20" si="0">IF(ISBLANK($E5),"----",$E5-$D5)</f>
        <v>5483.2199999999721</v>
      </c>
    </row>
    <row r="6" spans="1:6">
      <c r="A6" s="107">
        <v>44944</v>
      </c>
      <c r="B6" s="108" t="s">
        <v>648</v>
      </c>
      <c r="C6" s="90">
        <v>485307.25</v>
      </c>
      <c r="D6" s="90">
        <f>C6</f>
        <v>485307.25</v>
      </c>
      <c r="E6" s="90"/>
      <c r="F6" s="86" t="str">
        <f t="shared" si="0"/>
        <v>----</v>
      </c>
    </row>
    <row r="7" spans="1:6">
      <c r="A7" s="107">
        <v>45279</v>
      </c>
      <c r="B7" s="108" t="s">
        <v>708</v>
      </c>
      <c r="C7" s="415">
        <v>432049</v>
      </c>
      <c r="D7" s="90">
        <f>C7</f>
        <v>432049</v>
      </c>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23"/>
      <c r="B20" s="124"/>
      <c r="C20" s="125"/>
      <c r="D20" s="125"/>
      <c r="E20" s="125"/>
      <c r="F20" s="86" t="str">
        <f t="shared" si="0"/>
        <v>----</v>
      </c>
    </row>
    <row r="21" spans="1:6" ht="15.75" thickBot="1">
      <c r="A21" s="75"/>
      <c r="B21" s="76"/>
      <c r="C21" s="77"/>
      <c r="D21" s="77"/>
      <c r="E21" s="77"/>
      <c r="F21" s="78" t="str">
        <f>IF(ISBLANK($E21),"----",$E21-$D21)</f>
        <v>----</v>
      </c>
    </row>
    <row r="22" spans="1:6" ht="15.75" thickBot="1">
      <c r="A22" s="28"/>
      <c r="B22" s="28"/>
      <c r="C22" s="29"/>
      <c r="D22" s="29"/>
      <c r="E22" s="29"/>
      <c r="F22" s="70">
        <f>SUM(F3:F21)</f>
        <v>3944.8699999999953</v>
      </c>
    </row>
  </sheetData>
  <mergeCells count="1">
    <mergeCell ref="A1:F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G23"/>
  <sheetViews>
    <sheetView workbookViewId="0">
      <selection activeCell="E5" sqref="E5"/>
    </sheetView>
  </sheetViews>
  <sheetFormatPr defaultRowHeight="15"/>
  <cols>
    <col min="2" max="2" width="22.7109375" bestFit="1" customWidth="1"/>
    <col min="3" max="3" width="12" bestFit="1" customWidth="1"/>
    <col min="4" max="4" width="12" customWidth="1"/>
    <col min="5" max="5" width="10.7109375" customWidth="1"/>
    <col min="6" max="6" width="14.140625" customWidth="1"/>
  </cols>
  <sheetData>
    <row r="1" spans="1:7" ht="15.75" thickBot="1">
      <c r="A1" s="530" t="s">
        <v>184</v>
      </c>
      <c r="B1" s="531"/>
      <c r="C1" s="531"/>
      <c r="D1" s="531"/>
      <c r="E1" s="531"/>
      <c r="F1" s="532"/>
    </row>
    <row r="2" spans="1:7" ht="57.75" thickBot="1">
      <c r="A2" s="25" t="s">
        <v>110</v>
      </c>
      <c r="B2" s="79" t="s">
        <v>111</v>
      </c>
      <c r="C2" s="80" t="s">
        <v>112</v>
      </c>
      <c r="D2" s="80" t="s">
        <v>120</v>
      </c>
      <c r="E2" s="80" t="s">
        <v>121</v>
      </c>
      <c r="F2" s="26" t="s">
        <v>113</v>
      </c>
    </row>
    <row r="3" spans="1:7">
      <c r="A3" s="71">
        <v>43852</v>
      </c>
      <c r="B3" s="72" t="s">
        <v>197</v>
      </c>
      <c r="C3" s="73">
        <v>327863.76</v>
      </c>
      <c r="D3" s="73">
        <f>C3</f>
        <v>327863.76</v>
      </c>
      <c r="E3" s="73">
        <v>317591.09999999998</v>
      </c>
      <c r="F3" s="74">
        <f>IF(ISBLANK($E3),"----",$E3-$D3)</f>
        <v>-10272.660000000033</v>
      </c>
    </row>
    <row r="4" spans="1:7">
      <c r="A4" s="94">
        <v>43942</v>
      </c>
      <c r="B4" s="95" t="s">
        <v>242</v>
      </c>
      <c r="C4" s="87">
        <v>276859.71999999997</v>
      </c>
      <c r="D4" s="87">
        <v>72034.720000000001</v>
      </c>
      <c r="E4" s="87">
        <v>69979.679999999993</v>
      </c>
      <c r="F4" s="150">
        <f>IF(ISBLANK($E4),"----",$E4-$D4)</f>
        <v>-2055.0400000000081</v>
      </c>
    </row>
    <row r="5" spans="1:7">
      <c r="A5" s="107">
        <v>44216</v>
      </c>
      <c r="B5" s="108" t="s">
        <v>380</v>
      </c>
      <c r="C5" s="90">
        <v>362056.95</v>
      </c>
      <c r="D5" s="90">
        <f>C5</f>
        <v>362056.95</v>
      </c>
      <c r="E5" s="90">
        <v>364598.14</v>
      </c>
      <c r="F5" s="150">
        <f t="shared" ref="F5:F21" si="0">IF(ISBLANK($E5),"----",$E5-$D5)</f>
        <v>2541.1900000000023</v>
      </c>
    </row>
    <row r="6" spans="1:7">
      <c r="A6" s="107">
        <v>44551</v>
      </c>
      <c r="B6" s="279" t="s">
        <v>487</v>
      </c>
      <c r="C6" s="90">
        <v>407823.62</v>
      </c>
      <c r="D6" s="90">
        <f>C6</f>
        <v>407823.62</v>
      </c>
      <c r="E6" s="90">
        <v>402076.73</v>
      </c>
      <c r="F6" s="150">
        <f t="shared" si="0"/>
        <v>-5746.890000000014</v>
      </c>
    </row>
    <row r="7" spans="1:7">
      <c r="A7" s="107">
        <v>44607</v>
      </c>
      <c r="B7" s="279" t="s">
        <v>645</v>
      </c>
      <c r="C7" s="90">
        <v>1366530.48</v>
      </c>
      <c r="D7" s="90">
        <v>279268.59999999998</v>
      </c>
      <c r="E7" s="90"/>
      <c r="F7" s="150" t="str">
        <f t="shared" si="0"/>
        <v>----</v>
      </c>
      <c r="G7" t="s">
        <v>646</v>
      </c>
    </row>
    <row r="8" spans="1:7">
      <c r="A8" s="107">
        <v>44915</v>
      </c>
      <c r="B8" s="108" t="s">
        <v>634</v>
      </c>
      <c r="C8" s="90">
        <v>510316.15</v>
      </c>
      <c r="D8" s="90">
        <f>C8</f>
        <v>510316.15</v>
      </c>
      <c r="E8" s="90"/>
      <c r="F8" s="150" t="str">
        <f t="shared" si="0"/>
        <v>----</v>
      </c>
    </row>
    <row r="9" spans="1:7">
      <c r="A9" s="107"/>
      <c r="B9" s="108"/>
      <c r="C9" s="90"/>
      <c r="D9" s="90"/>
      <c r="E9" s="90"/>
      <c r="F9" s="150" t="str">
        <f t="shared" si="0"/>
        <v>----</v>
      </c>
    </row>
    <row r="10" spans="1:7">
      <c r="A10" s="107"/>
      <c r="B10" s="108"/>
      <c r="C10" s="90"/>
      <c r="D10" s="90"/>
      <c r="E10" s="90"/>
      <c r="F10" s="150" t="str">
        <f t="shared" si="0"/>
        <v>----</v>
      </c>
    </row>
    <row r="11" spans="1:7">
      <c r="A11" s="107"/>
      <c r="B11" s="108"/>
      <c r="C11" s="90"/>
      <c r="D11" s="90"/>
      <c r="E11" s="90"/>
      <c r="F11" s="150" t="str">
        <f t="shared" si="0"/>
        <v>----</v>
      </c>
    </row>
    <row r="12" spans="1:7">
      <c r="A12" s="107"/>
      <c r="B12" s="108"/>
      <c r="C12" s="90"/>
      <c r="D12" s="90"/>
      <c r="E12" s="90"/>
      <c r="F12" s="150" t="str">
        <f t="shared" si="0"/>
        <v>----</v>
      </c>
    </row>
    <row r="13" spans="1:7">
      <c r="A13" s="107"/>
      <c r="B13" s="108"/>
      <c r="C13" s="90"/>
      <c r="D13" s="90"/>
      <c r="E13" s="90"/>
      <c r="F13" s="150" t="str">
        <f t="shared" si="0"/>
        <v>----</v>
      </c>
    </row>
    <row r="14" spans="1:7">
      <c r="A14" s="107"/>
      <c r="B14" s="108"/>
      <c r="C14" s="90"/>
      <c r="D14" s="90"/>
      <c r="E14" s="90"/>
      <c r="F14" s="150" t="str">
        <f t="shared" si="0"/>
        <v>----</v>
      </c>
    </row>
    <row r="15" spans="1:7">
      <c r="A15" s="107"/>
      <c r="B15" s="108"/>
      <c r="C15" s="90"/>
      <c r="D15" s="90"/>
      <c r="E15" s="90"/>
      <c r="F15" s="150" t="str">
        <f t="shared" si="0"/>
        <v>----</v>
      </c>
    </row>
    <row r="16" spans="1:7">
      <c r="A16" s="107"/>
      <c r="B16" s="108"/>
      <c r="C16" s="90"/>
      <c r="D16" s="90"/>
      <c r="E16" s="90"/>
      <c r="F16" s="150" t="str">
        <f t="shared" si="0"/>
        <v>----</v>
      </c>
    </row>
    <row r="17" spans="1:6">
      <c r="A17" s="107"/>
      <c r="B17" s="108"/>
      <c r="C17" s="90"/>
      <c r="D17" s="90"/>
      <c r="E17" s="90"/>
      <c r="F17" s="150" t="str">
        <f t="shared" si="0"/>
        <v>----</v>
      </c>
    </row>
    <row r="18" spans="1:6">
      <c r="A18" s="107"/>
      <c r="B18" s="108"/>
      <c r="C18" s="90"/>
      <c r="D18" s="90"/>
      <c r="E18" s="90"/>
      <c r="F18" s="150" t="str">
        <f t="shared" si="0"/>
        <v>----</v>
      </c>
    </row>
    <row r="19" spans="1:6">
      <c r="A19" s="107"/>
      <c r="B19" s="108"/>
      <c r="C19" s="90"/>
      <c r="D19" s="90"/>
      <c r="E19" s="90"/>
      <c r="F19" s="150" t="str">
        <f t="shared" si="0"/>
        <v>----</v>
      </c>
    </row>
    <row r="20" spans="1:6">
      <c r="A20" s="107"/>
      <c r="B20" s="108"/>
      <c r="C20" s="90"/>
      <c r="D20" s="90"/>
      <c r="E20" s="90"/>
      <c r="F20" s="150" t="str">
        <f t="shared" si="0"/>
        <v>----</v>
      </c>
    </row>
    <row r="21" spans="1:6">
      <c r="A21" s="123"/>
      <c r="B21" s="124"/>
      <c r="C21" s="125"/>
      <c r="D21" s="125"/>
      <c r="E21" s="125"/>
      <c r="F21" s="150" t="str">
        <f t="shared" si="0"/>
        <v>----</v>
      </c>
    </row>
    <row r="22" spans="1:6" ht="15.75" thickBot="1">
      <c r="A22" s="75"/>
      <c r="B22" s="76"/>
      <c r="C22" s="77"/>
      <c r="D22" s="77"/>
      <c r="E22" s="77"/>
      <c r="F22" s="78" t="str">
        <f>IF(ISBLANK($E22),"----",$E22-$D22)</f>
        <v>----</v>
      </c>
    </row>
    <row r="23" spans="1:6" ht="15.75" thickBot="1">
      <c r="A23" s="28"/>
      <c r="B23" s="28"/>
      <c r="C23" s="29"/>
      <c r="D23" s="29"/>
      <c r="E23" s="29"/>
      <c r="F23" s="70">
        <f>SUM(F3:F22)</f>
        <v>-15533.400000000052</v>
      </c>
    </row>
  </sheetData>
  <mergeCells count="1">
    <mergeCell ref="A1:F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F23"/>
  <sheetViews>
    <sheetView workbookViewId="0">
      <selection activeCell="E7" sqref="E3:E7"/>
    </sheetView>
  </sheetViews>
  <sheetFormatPr defaultRowHeight="15"/>
  <cols>
    <col min="2" max="2" width="22.42578125" bestFit="1" customWidth="1"/>
    <col min="3" max="4" width="12" bestFit="1" customWidth="1"/>
    <col min="5" max="5" width="11.42578125" bestFit="1" customWidth="1"/>
    <col min="6" max="6" width="9.42578125" bestFit="1" customWidth="1"/>
  </cols>
  <sheetData>
    <row r="1" spans="1:6" ht="15.75" thickBot="1">
      <c r="A1" s="530" t="s">
        <v>266</v>
      </c>
      <c r="B1" s="531"/>
      <c r="C1" s="531"/>
      <c r="D1" s="531"/>
      <c r="E1" s="531"/>
      <c r="F1" s="532"/>
    </row>
    <row r="2" spans="1:6" ht="57.75" thickBot="1">
      <c r="A2" s="25" t="s">
        <v>110</v>
      </c>
      <c r="B2" s="79" t="s">
        <v>111</v>
      </c>
      <c r="C2" s="80" t="s">
        <v>112</v>
      </c>
      <c r="D2" s="80" t="s">
        <v>120</v>
      </c>
      <c r="E2" s="80" t="s">
        <v>121</v>
      </c>
      <c r="F2" s="26" t="s">
        <v>113</v>
      </c>
    </row>
    <row r="3" spans="1:6">
      <c r="A3" s="71">
        <v>43998</v>
      </c>
      <c r="B3" s="72" t="s">
        <v>294</v>
      </c>
      <c r="C3" s="73">
        <v>1544905.43</v>
      </c>
      <c r="D3" s="73">
        <f>C3</f>
        <v>1544905.43</v>
      </c>
      <c r="E3" s="73">
        <v>1591872.42</v>
      </c>
      <c r="F3" s="74">
        <f>IF(ISBLANK($E3),"----",$E3-$D3)</f>
        <v>46966.989999999991</v>
      </c>
    </row>
    <row r="4" spans="1:6">
      <c r="A4" s="537">
        <v>44460</v>
      </c>
      <c r="B4" s="106" t="s">
        <v>457</v>
      </c>
      <c r="C4" s="85">
        <v>1074811.21</v>
      </c>
      <c r="D4" s="85">
        <v>829021.21</v>
      </c>
      <c r="E4" s="85">
        <v>828573</v>
      </c>
      <c r="F4" s="86">
        <f>IF(ISBLANK($E4),"----",$E4-$D4)</f>
        <v>-448.20999999996275</v>
      </c>
    </row>
    <row r="5" spans="1:6">
      <c r="A5" s="538"/>
      <c r="B5" s="95" t="s">
        <v>458</v>
      </c>
      <c r="C5" s="87">
        <v>1401033.03</v>
      </c>
      <c r="D5" s="87">
        <v>991383.03</v>
      </c>
      <c r="E5" s="87">
        <v>983685.24</v>
      </c>
      <c r="F5" s="88">
        <f>IF(ISBLANK($E5),"----",$E5-$D5)</f>
        <v>-7697.7900000000373</v>
      </c>
    </row>
    <row r="6" spans="1:6">
      <c r="A6" s="234">
        <v>44944</v>
      </c>
      <c r="B6" s="124" t="s">
        <v>649</v>
      </c>
      <c r="C6" s="125">
        <v>1076454.8899999999</v>
      </c>
      <c r="D6" s="125">
        <f>C6</f>
        <v>1076454.8899999999</v>
      </c>
      <c r="E6" s="125"/>
      <c r="F6" s="126" t="str">
        <f t="shared" ref="F6:F21" si="0">IF(ISBLANK($E6),"----",$E6-$D6)</f>
        <v>----</v>
      </c>
    </row>
    <row r="7" spans="1:6">
      <c r="A7" s="234">
        <v>45279</v>
      </c>
      <c r="B7" s="124" t="s">
        <v>709</v>
      </c>
      <c r="C7" s="433">
        <v>1538699.68</v>
      </c>
      <c r="D7" s="125">
        <f>C7</f>
        <v>1538699.68</v>
      </c>
      <c r="E7" s="125"/>
      <c r="F7" s="126" t="str">
        <f t="shared" si="0"/>
        <v>----</v>
      </c>
    </row>
    <row r="8" spans="1:6">
      <c r="A8" s="234"/>
      <c r="B8" s="124"/>
      <c r="C8" s="125"/>
      <c r="D8" s="125"/>
      <c r="E8" s="125"/>
      <c r="F8" s="126" t="str">
        <f t="shared" si="0"/>
        <v>----</v>
      </c>
    </row>
    <row r="9" spans="1:6">
      <c r="A9" s="234"/>
      <c r="B9" s="124"/>
      <c r="C9" s="125"/>
      <c r="D9" s="125"/>
      <c r="E9" s="125"/>
      <c r="F9" s="126" t="str">
        <f t="shared" si="0"/>
        <v>----</v>
      </c>
    </row>
    <row r="10" spans="1:6">
      <c r="A10" s="234"/>
      <c r="B10" s="124"/>
      <c r="C10" s="125"/>
      <c r="D10" s="125"/>
      <c r="E10" s="125"/>
      <c r="F10" s="126" t="str">
        <f t="shared" si="0"/>
        <v>----</v>
      </c>
    </row>
    <row r="11" spans="1:6">
      <c r="A11" s="234"/>
      <c r="B11" s="124"/>
      <c r="C11" s="125"/>
      <c r="D11" s="125"/>
      <c r="E11" s="125"/>
      <c r="F11" s="126" t="str">
        <f t="shared" si="0"/>
        <v>----</v>
      </c>
    </row>
    <row r="12" spans="1:6">
      <c r="A12" s="234"/>
      <c r="B12" s="124"/>
      <c r="C12" s="125"/>
      <c r="D12" s="125"/>
      <c r="E12" s="125"/>
      <c r="F12" s="126" t="str">
        <f t="shared" si="0"/>
        <v>----</v>
      </c>
    </row>
    <row r="13" spans="1:6">
      <c r="A13" s="234"/>
      <c r="B13" s="124"/>
      <c r="C13" s="125"/>
      <c r="D13" s="125"/>
      <c r="E13" s="125"/>
      <c r="F13" s="126" t="str">
        <f t="shared" si="0"/>
        <v>----</v>
      </c>
    </row>
    <row r="14" spans="1:6">
      <c r="A14" s="234"/>
      <c r="B14" s="124"/>
      <c r="C14" s="125"/>
      <c r="D14" s="125"/>
      <c r="E14" s="125"/>
      <c r="F14" s="126" t="str">
        <f t="shared" si="0"/>
        <v>----</v>
      </c>
    </row>
    <row r="15" spans="1:6">
      <c r="A15" s="234"/>
      <c r="B15" s="124"/>
      <c r="C15" s="125"/>
      <c r="D15" s="125"/>
      <c r="E15" s="125"/>
      <c r="F15" s="126" t="str">
        <f t="shared" si="0"/>
        <v>----</v>
      </c>
    </row>
    <row r="16" spans="1:6">
      <c r="A16" s="234"/>
      <c r="B16" s="124"/>
      <c r="C16" s="125"/>
      <c r="D16" s="125"/>
      <c r="E16" s="125"/>
      <c r="F16" s="126" t="str">
        <f t="shared" si="0"/>
        <v>----</v>
      </c>
    </row>
    <row r="17" spans="1:6">
      <c r="A17" s="234"/>
      <c r="B17" s="124"/>
      <c r="C17" s="125"/>
      <c r="D17" s="125"/>
      <c r="E17" s="125"/>
      <c r="F17" s="126" t="str">
        <f t="shared" si="0"/>
        <v>----</v>
      </c>
    </row>
    <row r="18" spans="1:6">
      <c r="A18" s="234"/>
      <c r="B18" s="124"/>
      <c r="C18" s="125"/>
      <c r="D18" s="125"/>
      <c r="E18" s="125"/>
      <c r="F18" s="126" t="str">
        <f t="shared" si="0"/>
        <v>----</v>
      </c>
    </row>
    <row r="19" spans="1:6">
      <c r="A19" s="234"/>
      <c r="B19" s="124"/>
      <c r="C19" s="125"/>
      <c r="D19" s="125"/>
      <c r="E19" s="125"/>
      <c r="F19" s="126" t="str">
        <f t="shared" si="0"/>
        <v>----</v>
      </c>
    </row>
    <row r="20" spans="1:6">
      <c r="A20" s="234"/>
      <c r="B20" s="124"/>
      <c r="C20" s="125"/>
      <c r="D20" s="125"/>
      <c r="E20" s="125"/>
      <c r="F20" s="126" t="str">
        <f t="shared" si="0"/>
        <v>----</v>
      </c>
    </row>
    <row r="21" spans="1:6">
      <c r="A21" s="234"/>
      <c r="B21" s="124"/>
      <c r="C21" s="125"/>
      <c r="D21" s="125"/>
      <c r="E21" s="125"/>
      <c r="F21" s="126" t="str">
        <f t="shared" si="0"/>
        <v>----</v>
      </c>
    </row>
    <row r="22" spans="1:6" ht="15.75" thickBot="1">
      <c r="A22" s="75"/>
      <c r="B22" s="76"/>
      <c r="C22" s="77"/>
      <c r="D22" s="77"/>
      <c r="E22" s="77"/>
      <c r="F22" s="78" t="str">
        <f>IF(ISBLANK($E22),"----",$E22-$D22)</f>
        <v>----</v>
      </c>
    </row>
    <row r="23" spans="1:6" ht="15.75" thickBot="1">
      <c r="A23" s="28"/>
      <c r="B23" s="28"/>
      <c r="C23" s="29"/>
      <c r="D23" s="29"/>
      <c r="E23" s="29"/>
      <c r="F23" s="70">
        <f>SUM(F3:F22)</f>
        <v>38820.989999999991</v>
      </c>
    </row>
  </sheetData>
  <mergeCells count="2">
    <mergeCell ref="A1:F1"/>
    <mergeCell ref="A4:A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G12"/>
  <sheetViews>
    <sheetView workbookViewId="0">
      <selection activeCell="E4" sqref="E4"/>
    </sheetView>
  </sheetViews>
  <sheetFormatPr defaultRowHeight="15"/>
  <cols>
    <col min="2" max="2" width="23.5703125" bestFit="1" customWidth="1"/>
    <col min="3" max="4" width="10.7109375" bestFit="1" customWidth="1"/>
    <col min="5" max="5" width="10.140625" bestFit="1" customWidth="1"/>
    <col min="6" max="6" width="9.140625" bestFit="1" customWidth="1"/>
  </cols>
  <sheetData>
    <row r="1" spans="1:7" ht="15.75" thickBot="1">
      <c r="A1" s="530" t="s">
        <v>289</v>
      </c>
      <c r="B1" s="531"/>
      <c r="C1" s="531"/>
      <c r="D1" s="531"/>
      <c r="E1" s="531"/>
      <c r="F1" s="532"/>
    </row>
    <row r="2" spans="1:7" ht="69" thickBot="1">
      <c r="A2" s="25" t="s">
        <v>110</v>
      </c>
      <c r="B2" s="79" t="s">
        <v>111</v>
      </c>
      <c r="C2" s="80" t="s">
        <v>112</v>
      </c>
      <c r="D2" s="80" t="s">
        <v>120</v>
      </c>
      <c r="E2" s="80" t="s">
        <v>121</v>
      </c>
      <c r="F2" s="26" t="s">
        <v>113</v>
      </c>
    </row>
    <row r="3" spans="1:7">
      <c r="A3" s="71">
        <v>44124</v>
      </c>
      <c r="B3" s="72" t="s">
        <v>315</v>
      </c>
      <c r="C3" s="73">
        <v>706275.25</v>
      </c>
      <c r="D3" s="73">
        <v>296625.25</v>
      </c>
      <c r="E3" s="73"/>
      <c r="F3" s="74" t="str">
        <f>IF(ISBLANK($E3),"----",$E3-$D3)</f>
        <v>----</v>
      </c>
    </row>
    <row r="4" spans="1:7">
      <c r="A4" s="91">
        <v>44153</v>
      </c>
      <c r="B4" s="106" t="s">
        <v>332</v>
      </c>
      <c r="C4" s="85">
        <v>409000.63</v>
      </c>
      <c r="D4" s="85">
        <v>135900.63</v>
      </c>
      <c r="E4" s="85">
        <v>133790.75</v>
      </c>
      <c r="F4" s="86">
        <f>IF(ISBLANK($E4),"----",$E4-$D4)</f>
        <v>-2109.8800000000047</v>
      </c>
    </row>
    <row r="5" spans="1:7">
      <c r="A5" s="91">
        <v>44580</v>
      </c>
      <c r="B5" s="106" t="s">
        <v>496</v>
      </c>
      <c r="C5" s="85">
        <v>236396</v>
      </c>
      <c r="D5" s="85">
        <v>0</v>
      </c>
      <c r="E5" s="85"/>
      <c r="F5" s="86" t="str">
        <f t="shared" ref="F5:F10" si="0">IF(ISBLANK($E5),"----",$E5-$D5)</f>
        <v>----</v>
      </c>
      <c r="G5" t="s">
        <v>497</v>
      </c>
    </row>
    <row r="6" spans="1:7">
      <c r="A6" s="91">
        <v>44852</v>
      </c>
      <c r="B6" s="106" t="s">
        <v>578</v>
      </c>
      <c r="C6" s="85">
        <v>777108.59</v>
      </c>
      <c r="D6" s="85">
        <f>C6</f>
        <v>777108.59</v>
      </c>
      <c r="E6" s="85"/>
      <c r="F6" s="86" t="str">
        <f t="shared" si="0"/>
        <v>----</v>
      </c>
    </row>
    <row r="7" spans="1:7">
      <c r="A7" s="91"/>
      <c r="B7" s="106"/>
      <c r="C7" s="85"/>
      <c r="D7" s="85"/>
      <c r="E7" s="85"/>
      <c r="F7" s="86" t="str">
        <f t="shared" si="0"/>
        <v>----</v>
      </c>
    </row>
    <row r="8" spans="1:7">
      <c r="A8" s="91"/>
      <c r="B8" s="106"/>
      <c r="C8" s="85"/>
      <c r="D8" s="85"/>
      <c r="E8" s="85"/>
      <c r="F8" s="86" t="str">
        <f t="shared" si="0"/>
        <v>----</v>
      </c>
    </row>
    <row r="9" spans="1:7">
      <c r="A9" s="91"/>
      <c r="B9" s="106"/>
      <c r="C9" s="85"/>
      <c r="D9" s="85"/>
      <c r="E9" s="85"/>
      <c r="F9" s="86" t="str">
        <f t="shared" si="0"/>
        <v>----</v>
      </c>
    </row>
    <row r="10" spans="1:7">
      <c r="A10" s="91"/>
      <c r="B10" s="106"/>
      <c r="C10" s="85"/>
      <c r="D10" s="85"/>
      <c r="E10" s="85"/>
      <c r="F10" s="86" t="str">
        <f t="shared" si="0"/>
        <v>----</v>
      </c>
    </row>
    <row r="11" spans="1:7" ht="15.75" thickBot="1">
      <c r="A11" s="75"/>
      <c r="B11" s="76"/>
      <c r="C11" s="77"/>
      <c r="D11" s="77"/>
      <c r="E11" s="77"/>
      <c r="F11" s="78" t="str">
        <f>IF(ISBLANK($E11),"----",$E11-$D11)</f>
        <v>----</v>
      </c>
    </row>
    <row r="12" spans="1:7" ht="15.75" thickBot="1">
      <c r="A12" s="28"/>
      <c r="B12" s="28"/>
      <c r="C12" s="29"/>
      <c r="D12" s="29"/>
      <c r="E12" s="29"/>
      <c r="F12" s="70">
        <f>SUM(F3:F11)</f>
        <v>-2109.8800000000047</v>
      </c>
    </row>
  </sheetData>
  <mergeCells count="1">
    <mergeCell ref="A1:F1"/>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F14"/>
  <sheetViews>
    <sheetView workbookViewId="0">
      <selection activeCell="E3" sqref="E3"/>
    </sheetView>
  </sheetViews>
  <sheetFormatPr defaultRowHeight="15"/>
  <cols>
    <col min="2" max="2" width="22.85546875" bestFit="1" customWidth="1"/>
    <col min="3" max="3" width="12" bestFit="1" customWidth="1"/>
    <col min="4" max="4" width="11.7109375" customWidth="1"/>
    <col min="5" max="5" width="11.42578125" bestFit="1" customWidth="1"/>
    <col min="6" max="6" width="12.7109375" customWidth="1"/>
  </cols>
  <sheetData>
    <row r="1" spans="1:6" ht="15.75" thickBot="1">
      <c r="A1" s="530" t="s">
        <v>154</v>
      </c>
      <c r="B1" s="531"/>
      <c r="C1" s="531"/>
      <c r="D1" s="531"/>
      <c r="E1" s="531"/>
      <c r="F1" s="532"/>
    </row>
    <row r="2" spans="1:6" ht="57.75" thickBot="1">
      <c r="A2" s="25" t="s">
        <v>110</v>
      </c>
      <c r="B2" s="79" t="s">
        <v>111</v>
      </c>
      <c r="C2" s="80" t="s">
        <v>112</v>
      </c>
      <c r="D2" s="80" t="s">
        <v>120</v>
      </c>
      <c r="E2" s="80" t="s">
        <v>121</v>
      </c>
      <c r="F2" s="26" t="s">
        <v>113</v>
      </c>
    </row>
    <row r="3" spans="1:6">
      <c r="A3" s="71">
        <v>43816</v>
      </c>
      <c r="B3" s="72" t="s">
        <v>167</v>
      </c>
      <c r="C3" s="73">
        <v>1366861.89</v>
      </c>
      <c r="D3" s="73">
        <f>C3</f>
        <v>1366861.89</v>
      </c>
      <c r="E3" s="73">
        <v>1388056.33</v>
      </c>
      <c r="F3" s="74">
        <f>IF(ISBLANK($E3),"----",$E3-$D3)</f>
        <v>21194.440000000177</v>
      </c>
    </row>
    <row r="4" spans="1:6">
      <c r="A4" s="91">
        <v>44153</v>
      </c>
      <c r="B4" s="106" t="s">
        <v>333</v>
      </c>
      <c r="C4" s="85">
        <v>599264.30000000005</v>
      </c>
      <c r="D4" s="85">
        <v>326164.3</v>
      </c>
      <c r="E4" s="85"/>
      <c r="F4" s="86" t="str">
        <f>IF(ISBLANK($E4),"----",$E4-$D4)</f>
        <v>----</v>
      </c>
    </row>
    <row r="5" spans="1:6">
      <c r="A5" s="91">
        <v>45279</v>
      </c>
      <c r="B5" s="106" t="s">
        <v>710</v>
      </c>
      <c r="C5" s="413">
        <v>970101.6</v>
      </c>
      <c r="D5" s="85">
        <f>C5</f>
        <v>970101.6</v>
      </c>
      <c r="E5" s="85"/>
      <c r="F5" s="86" t="str">
        <f t="shared" ref="F5:F12" si="0">IF(ISBLANK($E5),"----",$E5-$D5)</f>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ht="15.75" thickBot="1">
      <c r="A13" s="75"/>
      <c r="B13" s="76"/>
      <c r="C13" s="77"/>
      <c r="D13" s="77"/>
      <c r="E13" s="77"/>
      <c r="F13" s="78" t="str">
        <f>IF(ISBLANK($E13),"----",$E13-$D13)</f>
        <v>----</v>
      </c>
    </row>
    <row r="14" spans="1:6" ht="15.75" thickBot="1">
      <c r="A14" s="28"/>
      <c r="B14" s="28"/>
      <c r="C14" s="29"/>
      <c r="D14" s="29"/>
      <c r="E14" s="29"/>
      <c r="F14" s="70">
        <f>SUM(F3:F13)</f>
        <v>21194.440000000177</v>
      </c>
    </row>
  </sheetData>
  <mergeCells count="1">
    <mergeCell ref="A1:F1"/>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F7"/>
  <sheetViews>
    <sheetView workbookViewId="0">
      <selection sqref="A1:F8"/>
    </sheetView>
  </sheetViews>
  <sheetFormatPr defaultRowHeight="15"/>
  <sheetData>
    <row r="1" spans="1:6" ht="15.75" thickBot="1">
      <c r="A1" s="530" t="s">
        <v>267</v>
      </c>
      <c r="B1" s="531"/>
      <c r="C1" s="531"/>
      <c r="D1" s="531"/>
      <c r="E1" s="531"/>
      <c r="F1" s="532"/>
    </row>
    <row r="2" spans="1:6" ht="69" thickBot="1">
      <c r="A2" s="25" t="s">
        <v>110</v>
      </c>
      <c r="B2" s="79" t="s">
        <v>111</v>
      </c>
      <c r="C2" s="80" t="s">
        <v>112</v>
      </c>
      <c r="D2" s="80" t="s">
        <v>120</v>
      </c>
      <c r="E2" s="80" t="s">
        <v>121</v>
      </c>
      <c r="F2" s="26" t="s">
        <v>113</v>
      </c>
    </row>
    <row r="3" spans="1:6">
      <c r="A3" s="71"/>
      <c r="B3" s="72"/>
      <c r="C3" s="73"/>
      <c r="D3" s="73"/>
      <c r="E3" s="73"/>
      <c r="F3" s="74" t="str">
        <f>IF(ISBLANK($E3),"----",$E3-$D3)</f>
        <v>----</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F7"/>
  <sheetViews>
    <sheetView workbookViewId="0">
      <selection activeCell="E3" sqref="E3"/>
    </sheetView>
  </sheetViews>
  <sheetFormatPr defaultRowHeight="15"/>
  <cols>
    <col min="2" max="2" width="20.7109375" bestFit="1" customWidth="1"/>
    <col min="3" max="3" width="11.140625" bestFit="1" customWidth="1"/>
    <col min="4" max="4" width="11.5703125" customWidth="1"/>
    <col min="5" max="5" width="9.140625" bestFit="1" customWidth="1"/>
    <col min="6" max="6" width="11.5703125" customWidth="1"/>
  </cols>
  <sheetData>
    <row r="1" spans="1:6" ht="15.75" thickBot="1">
      <c r="A1" s="530" t="s">
        <v>268</v>
      </c>
      <c r="B1" s="531"/>
      <c r="C1" s="531"/>
      <c r="D1" s="531"/>
      <c r="E1" s="531"/>
      <c r="F1" s="532"/>
    </row>
    <row r="2" spans="1:6" ht="57.75" thickBot="1">
      <c r="A2" s="25" t="s">
        <v>110</v>
      </c>
      <c r="B2" s="79" t="s">
        <v>111</v>
      </c>
      <c r="C2" s="80" t="s">
        <v>112</v>
      </c>
      <c r="D2" s="80" t="s">
        <v>120</v>
      </c>
      <c r="E2" s="80" t="s">
        <v>121</v>
      </c>
      <c r="F2" s="26" t="s">
        <v>113</v>
      </c>
    </row>
    <row r="3" spans="1:6">
      <c r="A3" s="71">
        <v>44061</v>
      </c>
      <c r="B3" s="72" t="s">
        <v>300</v>
      </c>
      <c r="C3" s="109">
        <v>1230943.05</v>
      </c>
      <c r="D3" s="109">
        <v>788521.05</v>
      </c>
      <c r="E3" s="109">
        <v>777172.75</v>
      </c>
      <c r="F3" s="74">
        <f>IF(ISBLANK($E3),"----",$E3-$D3)</f>
        <v>-11348.300000000047</v>
      </c>
    </row>
    <row r="4" spans="1:6">
      <c r="A4" s="91"/>
      <c r="B4" s="106"/>
      <c r="C4" s="119"/>
      <c r="D4" s="119"/>
      <c r="E4" s="119"/>
      <c r="F4" s="86" t="str">
        <f>IF(ISBLANK($E4),"----",$E4-$D4)</f>
        <v>----</v>
      </c>
    </row>
    <row r="5" spans="1:6">
      <c r="A5" s="94"/>
      <c r="B5" s="95"/>
      <c r="C5" s="110"/>
      <c r="D5" s="110"/>
      <c r="E5" s="110"/>
      <c r="F5" s="88" t="str">
        <f>IF(ISBLANK($E5),"----",$E5-$D5)</f>
        <v>----</v>
      </c>
    </row>
    <row r="6" spans="1:6" ht="15.75" thickBot="1">
      <c r="A6" s="75"/>
      <c r="B6" s="76"/>
      <c r="C6" s="111"/>
      <c r="D6" s="111"/>
      <c r="E6" s="111"/>
      <c r="F6" s="78" t="str">
        <f>IF(ISBLANK($E6),"----",$E6-$D6)</f>
        <v>----</v>
      </c>
    </row>
    <row r="7" spans="1:6" ht="15.75" thickBot="1">
      <c r="A7" s="28"/>
      <c r="B7" s="28"/>
      <c r="C7" s="29"/>
      <c r="D7" s="29"/>
      <c r="E7" s="29"/>
      <c r="F7" s="70">
        <f>SUM(F3:F6)</f>
        <v>-11348.300000000047</v>
      </c>
    </row>
  </sheetData>
  <mergeCells count="1">
    <mergeCell ref="A1:F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G21"/>
  <sheetViews>
    <sheetView workbookViewId="0">
      <selection activeCell="E10" sqref="E3:E10"/>
    </sheetView>
  </sheetViews>
  <sheetFormatPr defaultRowHeight="15"/>
  <cols>
    <col min="2" max="2" width="23" bestFit="1" customWidth="1"/>
    <col min="3" max="4" width="12" bestFit="1" customWidth="1"/>
    <col min="5" max="5" width="11.42578125" bestFit="1" customWidth="1"/>
    <col min="6" max="6" width="13.85546875" customWidth="1"/>
  </cols>
  <sheetData>
    <row r="1" spans="1:7" ht="15.75" thickBot="1">
      <c r="A1" s="530" t="s">
        <v>185</v>
      </c>
      <c r="B1" s="531"/>
      <c r="C1" s="531"/>
      <c r="D1" s="531"/>
      <c r="E1" s="531"/>
      <c r="F1" s="532"/>
    </row>
    <row r="2" spans="1:7" ht="57.75" thickBot="1">
      <c r="A2" s="25" t="s">
        <v>110</v>
      </c>
      <c r="B2" s="79" t="s">
        <v>111</v>
      </c>
      <c r="C2" s="80" t="s">
        <v>112</v>
      </c>
      <c r="D2" s="80" t="s">
        <v>120</v>
      </c>
      <c r="E2" s="80" t="s">
        <v>121</v>
      </c>
      <c r="F2" s="26" t="s">
        <v>113</v>
      </c>
    </row>
    <row r="3" spans="1:7">
      <c r="A3" s="71">
        <v>43852</v>
      </c>
      <c r="B3" s="72" t="s">
        <v>196</v>
      </c>
      <c r="C3" s="73">
        <v>1221334.17</v>
      </c>
      <c r="D3" s="73">
        <f>C3</f>
        <v>1221334.17</v>
      </c>
      <c r="E3" s="73">
        <v>1195463.57</v>
      </c>
      <c r="F3" s="74">
        <f>IF(ISBLANK($E3),"----",$E3-$D3)</f>
        <v>-25870.59999999986</v>
      </c>
    </row>
    <row r="4" spans="1:7">
      <c r="A4" s="91">
        <v>43879</v>
      </c>
      <c r="B4" s="106" t="s">
        <v>219</v>
      </c>
      <c r="C4" s="85">
        <v>659062.44999999995</v>
      </c>
      <c r="D4" s="85">
        <v>440582.45</v>
      </c>
      <c r="E4" s="85">
        <v>405284.05</v>
      </c>
      <c r="F4" s="86">
        <f>IF(ISBLANK($E4),"----",$E4-$D4)</f>
        <v>-35298.400000000023</v>
      </c>
      <c r="G4" t="s">
        <v>220</v>
      </c>
    </row>
    <row r="5" spans="1:7">
      <c r="A5" s="539">
        <v>44243</v>
      </c>
      <c r="B5" s="108" t="s">
        <v>401</v>
      </c>
      <c r="C5" s="90">
        <v>875107</v>
      </c>
      <c r="D5" s="90">
        <v>656627</v>
      </c>
      <c r="E5" s="90"/>
      <c r="F5" s="86" t="str">
        <f t="shared" ref="F5:F19" si="0">IF(ISBLANK($E5),"----",$E5-$D5)</f>
        <v>----</v>
      </c>
    </row>
    <row r="6" spans="1:7">
      <c r="A6" s="540"/>
      <c r="B6" s="108" t="s">
        <v>402</v>
      </c>
      <c r="C6" s="90">
        <v>771101.6</v>
      </c>
      <c r="D6" s="90">
        <v>552621.6</v>
      </c>
      <c r="E6" s="90"/>
      <c r="F6" s="86" t="str">
        <f t="shared" si="0"/>
        <v>----</v>
      </c>
    </row>
    <row r="7" spans="1:7">
      <c r="A7" s="107">
        <v>44551</v>
      </c>
      <c r="B7" s="279" t="s">
        <v>488</v>
      </c>
      <c r="C7" s="90">
        <v>1494122.4</v>
      </c>
      <c r="D7" s="90">
        <f>C7</f>
        <v>1494122.4</v>
      </c>
      <c r="E7" s="90">
        <v>1449485.68</v>
      </c>
      <c r="F7" s="86">
        <f t="shared" si="0"/>
        <v>-44636.719999999972</v>
      </c>
    </row>
    <row r="8" spans="1:7">
      <c r="A8" s="107">
        <v>44915</v>
      </c>
      <c r="B8" s="108" t="s">
        <v>635</v>
      </c>
      <c r="C8" s="90">
        <v>653836.69999999995</v>
      </c>
      <c r="D8" s="90">
        <f>130767.34+523069.36</f>
        <v>653836.69999999995</v>
      </c>
      <c r="E8" s="90"/>
      <c r="F8" s="86" t="str">
        <f t="shared" si="0"/>
        <v>----</v>
      </c>
    </row>
    <row r="9" spans="1:7">
      <c r="A9" s="107">
        <v>45251</v>
      </c>
      <c r="B9" s="108" t="s">
        <v>694</v>
      </c>
      <c r="C9" s="90">
        <v>739176</v>
      </c>
      <c r="D9" s="90">
        <f>C9</f>
        <v>739176</v>
      </c>
      <c r="E9" s="90"/>
      <c r="F9" s="86" t="str">
        <f t="shared" si="0"/>
        <v>----</v>
      </c>
    </row>
    <row r="10" spans="1:7">
      <c r="A10" s="107">
        <v>45251</v>
      </c>
      <c r="B10" s="108" t="s">
        <v>695</v>
      </c>
      <c r="C10" s="90">
        <v>631625</v>
      </c>
      <c r="D10" s="90">
        <f>C10</f>
        <v>631625</v>
      </c>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23"/>
      <c r="B19" s="124"/>
      <c r="C19" s="125"/>
      <c r="D19" s="125"/>
      <c r="E19" s="125"/>
      <c r="F19" s="86" t="str">
        <f t="shared" si="0"/>
        <v>----</v>
      </c>
    </row>
    <row r="20" spans="1:6" ht="15.75" thickBot="1">
      <c r="A20" s="75"/>
      <c r="B20" s="76"/>
      <c r="C20" s="77"/>
      <c r="D20" s="77"/>
      <c r="E20" s="77"/>
      <c r="F20" s="78" t="str">
        <f>IF(ISBLANK($E20),"----",$E20-$D20)</f>
        <v>----</v>
      </c>
    </row>
    <row r="21" spans="1:6" ht="15.75" thickBot="1">
      <c r="A21" s="28"/>
      <c r="B21" s="28"/>
      <c r="C21" s="29"/>
      <c r="D21" s="29"/>
      <c r="E21" s="29"/>
      <c r="F21" s="70">
        <f>SUM(F3:F20)</f>
        <v>-105805.71999999986</v>
      </c>
    </row>
  </sheetData>
  <mergeCells count="2">
    <mergeCell ref="A1:F1"/>
    <mergeCell ref="A5:A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G20"/>
  <sheetViews>
    <sheetView workbookViewId="0">
      <selection activeCell="E5" sqref="E5"/>
    </sheetView>
  </sheetViews>
  <sheetFormatPr defaultRowHeight="15"/>
  <cols>
    <col min="2" max="2" width="21.28515625" bestFit="1" customWidth="1"/>
    <col min="3" max="4" width="12.140625" customWidth="1"/>
    <col min="5" max="5" width="10.140625" bestFit="1" customWidth="1"/>
    <col min="6" max="6" width="12.140625" customWidth="1"/>
  </cols>
  <sheetData>
    <row r="1" spans="1:7" ht="15.75" thickBot="1">
      <c r="A1" s="530" t="s">
        <v>129</v>
      </c>
      <c r="B1" s="531"/>
      <c r="C1" s="531"/>
      <c r="D1" s="531"/>
      <c r="E1" s="531"/>
      <c r="F1" s="532"/>
    </row>
    <row r="2" spans="1:7" ht="57.75" thickBot="1">
      <c r="A2" s="25" t="s">
        <v>110</v>
      </c>
      <c r="B2" s="79" t="s">
        <v>111</v>
      </c>
      <c r="C2" s="80" t="s">
        <v>112</v>
      </c>
      <c r="D2" s="80" t="s">
        <v>120</v>
      </c>
      <c r="E2" s="80" t="s">
        <v>121</v>
      </c>
      <c r="F2" s="26" t="s">
        <v>113</v>
      </c>
    </row>
    <row r="3" spans="1:7">
      <c r="A3" s="96">
        <f>Henry!A3</f>
        <v>43970</v>
      </c>
      <c r="B3" s="97" t="str">
        <f>Henry!B3</f>
        <v>BROS-SWAP-C044(87)--SE-44</v>
      </c>
      <c r="C3" s="98">
        <f>Henry!C3</f>
        <v>320390.63</v>
      </c>
      <c r="D3" s="98">
        <f>Henry!D3</f>
        <v>320390.63</v>
      </c>
      <c r="E3" s="98"/>
      <c r="F3" s="99" t="str">
        <f>IF(ISBLANK($E3),"----",$E3-$D3)</f>
        <v>----</v>
      </c>
      <c r="G3" t="s">
        <v>130</v>
      </c>
    </row>
    <row r="4" spans="1:7">
      <c r="A4" s="91">
        <v>44124</v>
      </c>
      <c r="B4" s="106" t="s">
        <v>316</v>
      </c>
      <c r="C4" s="85">
        <v>636750.65</v>
      </c>
      <c r="D4" s="85">
        <v>199790.65</v>
      </c>
      <c r="E4" s="85"/>
      <c r="F4" s="86" t="str">
        <f>IF(ISBLANK($E4),"----",$E4-$D4)</f>
        <v>----</v>
      </c>
    </row>
    <row r="5" spans="1:7">
      <c r="A5" s="107">
        <v>44824</v>
      </c>
      <c r="B5" s="108" t="s">
        <v>569</v>
      </c>
      <c r="C5" s="90">
        <v>426853.5</v>
      </c>
      <c r="D5" s="90">
        <f>C5</f>
        <v>426853.5</v>
      </c>
      <c r="E5" s="90">
        <v>429601.15</v>
      </c>
      <c r="F5" s="122">
        <f t="shared" ref="F5:F18" si="0">IF(ISBLANK($E5),"----",$E5-$D5)</f>
        <v>2747.6500000000233</v>
      </c>
    </row>
    <row r="6" spans="1:7">
      <c r="A6" s="107"/>
      <c r="B6" s="108"/>
      <c r="C6" s="90"/>
      <c r="D6" s="90"/>
      <c r="E6" s="90"/>
      <c r="F6" s="122" t="str">
        <f t="shared" si="0"/>
        <v>----</v>
      </c>
    </row>
    <row r="7" spans="1:7">
      <c r="A7" s="107"/>
      <c r="B7" s="108"/>
      <c r="C7" s="90"/>
      <c r="D7" s="90"/>
      <c r="E7" s="90"/>
      <c r="F7" s="122" t="str">
        <f t="shared" si="0"/>
        <v>----</v>
      </c>
    </row>
    <row r="8" spans="1:7">
      <c r="A8" s="107"/>
      <c r="B8" s="108"/>
      <c r="C8" s="90"/>
      <c r="D8" s="90"/>
      <c r="E8" s="90"/>
      <c r="F8" s="122" t="str">
        <f t="shared" si="0"/>
        <v>----</v>
      </c>
    </row>
    <row r="9" spans="1:7">
      <c r="A9" s="107"/>
      <c r="B9" s="108"/>
      <c r="C9" s="90"/>
      <c r="D9" s="90"/>
      <c r="E9" s="90"/>
      <c r="F9" s="122" t="str">
        <f t="shared" si="0"/>
        <v>----</v>
      </c>
    </row>
    <row r="10" spans="1:7">
      <c r="A10" s="107"/>
      <c r="B10" s="108"/>
      <c r="C10" s="90"/>
      <c r="D10" s="90"/>
      <c r="E10" s="90"/>
      <c r="F10" s="122" t="str">
        <f t="shared" si="0"/>
        <v>----</v>
      </c>
    </row>
    <row r="11" spans="1:7">
      <c r="A11" s="107"/>
      <c r="B11" s="108"/>
      <c r="C11" s="90"/>
      <c r="D11" s="90"/>
      <c r="E11" s="90"/>
      <c r="F11" s="122" t="str">
        <f t="shared" si="0"/>
        <v>----</v>
      </c>
    </row>
    <row r="12" spans="1:7">
      <c r="A12" s="107"/>
      <c r="B12" s="108"/>
      <c r="C12" s="90"/>
      <c r="D12" s="90"/>
      <c r="E12" s="90"/>
      <c r="F12" s="122" t="str">
        <f t="shared" si="0"/>
        <v>----</v>
      </c>
    </row>
    <row r="13" spans="1:7">
      <c r="A13" s="107"/>
      <c r="B13" s="108"/>
      <c r="C13" s="90"/>
      <c r="D13" s="90"/>
      <c r="E13" s="90"/>
      <c r="F13" s="122" t="str">
        <f t="shared" si="0"/>
        <v>----</v>
      </c>
    </row>
    <row r="14" spans="1:7">
      <c r="A14" s="107"/>
      <c r="B14" s="108"/>
      <c r="C14" s="90"/>
      <c r="D14" s="90"/>
      <c r="E14" s="90"/>
      <c r="F14" s="122" t="str">
        <f t="shared" si="0"/>
        <v>----</v>
      </c>
    </row>
    <row r="15" spans="1:7">
      <c r="A15" s="107"/>
      <c r="B15" s="108"/>
      <c r="C15" s="90"/>
      <c r="D15" s="90"/>
      <c r="E15" s="90"/>
      <c r="F15" s="122" t="str">
        <f t="shared" si="0"/>
        <v>----</v>
      </c>
    </row>
    <row r="16" spans="1:7">
      <c r="A16" s="107"/>
      <c r="B16" s="108"/>
      <c r="C16" s="90"/>
      <c r="D16" s="90"/>
      <c r="E16" s="90"/>
      <c r="F16" s="122" t="str">
        <f t="shared" si="0"/>
        <v>----</v>
      </c>
    </row>
    <row r="17" spans="1:6">
      <c r="A17" s="107"/>
      <c r="B17" s="108"/>
      <c r="C17" s="90"/>
      <c r="D17" s="90"/>
      <c r="E17" s="90"/>
      <c r="F17" s="122" t="str">
        <f t="shared" si="0"/>
        <v>----</v>
      </c>
    </row>
    <row r="18" spans="1:6">
      <c r="A18" s="123"/>
      <c r="B18" s="124"/>
      <c r="C18" s="125"/>
      <c r="D18" s="125"/>
      <c r="E18" s="125"/>
      <c r="F18" s="126" t="str">
        <f t="shared" si="0"/>
        <v>----</v>
      </c>
    </row>
    <row r="19" spans="1:6" ht="15.75" thickBot="1">
      <c r="A19" s="75"/>
      <c r="B19" s="76"/>
      <c r="C19" s="77"/>
      <c r="D19" s="77"/>
      <c r="E19" s="77"/>
      <c r="F19" s="78" t="str">
        <f>IF(ISBLANK($E19),"----",$E19-$D19)</f>
        <v>----</v>
      </c>
    </row>
    <row r="20" spans="1:6" ht="15.75" thickBot="1">
      <c r="A20" s="28"/>
      <c r="B20" s="28"/>
      <c r="C20" s="29"/>
      <c r="D20" s="29"/>
      <c r="E20" s="29"/>
      <c r="F20" s="70">
        <f>SUM(F3:F19)</f>
        <v>2747.6500000000233</v>
      </c>
    </row>
  </sheetData>
  <mergeCells count="1">
    <mergeCell ref="A1:F1"/>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F21"/>
  <sheetViews>
    <sheetView workbookViewId="0">
      <selection activeCell="E3" sqref="E3"/>
    </sheetView>
  </sheetViews>
  <sheetFormatPr defaultRowHeight="15"/>
  <cols>
    <col min="2" max="2" width="22.42578125" bestFit="1" customWidth="1"/>
    <col min="3" max="3" width="10.7109375" bestFit="1" customWidth="1"/>
    <col min="4" max="4" width="10.5703125" customWidth="1"/>
    <col min="5" max="5" width="10.140625" bestFit="1" customWidth="1"/>
    <col min="6" max="6" width="13.140625" customWidth="1"/>
  </cols>
  <sheetData>
    <row r="1" spans="1:6" ht="15.75" thickBot="1">
      <c r="A1" s="530" t="s">
        <v>186</v>
      </c>
      <c r="B1" s="531"/>
      <c r="C1" s="531"/>
      <c r="D1" s="531"/>
      <c r="E1" s="531"/>
      <c r="F1" s="532"/>
    </row>
    <row r="2" spans="1:6" ht="57.75" thickBot="1">
      <c r="A2" s="25" t="s">
        <v>110</v>
      </c>
      <c r="B2" s="79" t="s">
        <v>111</v>
      </c>
      <c r="C2" s="80" t="s">
        <v>112</v>
      </c>
      <c r="D2" s="80" t="s">
        <v>120</v>
      </c>
      <c r="E2" s="80" t="s">
        <v>121</v>
      </c>
      <c r="F2" s="26" t="s">
        <v>113</v>
      </c>
    </row>
    <row r="3" spans="1:6">
      <c r="A3" s="71">
        <v>43852</v>
      </c>
      <c r="B3" s="72" t="s">
        <v>195</v>
      </c>
      <c r="C3" s="73">
        <v>648175.25</v>
      </c>
      <c r="D3" s="73">
        <f>C3</f>
        <v>648175.25</v>
      </c>
      <c r="E3" s="73">
        <v>654579.03</v>
      </c>
      <c r="F3" s="74">
        <f>IF(ISBLANK($E3),"----",$E3-$D3)</f>
        <v>6403.7800000000279</v>
      </c>
    </row>
    <row r="4" spans="1:6">
      <c r="A4" s="94">
        <v>44944</v>
      </c>
      <c r="B4" s="95" t="s">
        <v>650</v>
      </c>
      <c r="C4" s="87">
        <v>210874</v>
      </c>
      <c r="D4" s="87">
        <f>C4</f>
        <v>210874</v>
      </c>
      <c r="E4" s="87"/>
      <c r="F4" s="150" t="str">
        <f>IF(ISBLANK($E4),"----",$E4-$D4)</f>
        <v>----</v>
      </c>
    </row>
    <row r="5" spans="1:6">
      <c r="A5" s="107"/>
      <c r="B5" s="108"/>
      <c r="C5" s="90"/>
      <c r="D5" s="90"/>
      <c r="E5" s="90"/>
      <c r="F5" s="150" t="str">
        <f t="shared" ref="F5:F19" si="0">IF(ISBLANK($E5),"----",$E5-$D5)</f>
        <v>----</v>
      </c>
    </row>
    <row r="6" spans="1:6">
      <c r="A6" s="107"/>
      <c r="B6" s="108"/>
      <c r="C6" s="90"/>
      <c r="D6" s="90"/>
      <c r="E6" s="90"/>
      <c r="F6" s="150" t="str">
        <f t="shared" si="0"/>
        <v>----</v>
      </c>
    </row>
    <row r="7" spans="1:6">
      <c r="A7" s="107"/>
      <c r="B7" s="108"/>
      <c r="C7" s="90"/>
      <c r="D7" s="90"/>
      <c r="E7" s="90"/>
      <c r="F7" s="150" t="str">
        <f t="shared" si="0"/>
        <v>----</v>
      </c>
    </row>
    <row r="8" spans="1:6">
      <c r="A8" s="107"/>
      <c r="B8" s="108"/>
      <c r="C8" s="90"/>
      <c r="D8" s="90"/>
      <c r="E8" s="90"/>
      <c r="F8" s="150" t="str">
        <f t="shared" si="0"/>
        <v>----</v>
      </c>
    </row>
    <row r="9" spans="1:6">
      <c r="A9" s="107"/>
      <c r="B9" s="108"/>
      <c r="C9" s="90"/>
      <c r="D9" s="90"/>
      <c r="E9" s="90"/>
      <c r="F9" s="150" t="str">
        <f t="shared" si="0"/>
        <v>----</v>
      </c>
    </row>
    <row r="10" spans="1:6">
      <c r="A10" s="107"/>
      <c r="B10" s="108"/>
      <c r="C10" s="90"/>
      <c r="D10" s="90"/>
      <c r="E10" s="90"/>
      <c r="F10" s="150" t="str">
        <f t="shared" si="0"/>
        <v>----</v>
      </c>
    </row>
    <row r="11" spans="1:6">
      <c r="A11" s="107"/>
      <c r="B11" s="108"/>
      <c r="C11" s="90"/>
      <c r="D11" s="90"/>
      <c r="E11" s="90"/>
      <c r="F11" s="150" t="str">
        <f t="shared" si="0"/>
        <v>----</v>
      </c>
    </row>
    <row r="12" spans="1:6">
      <c r="A12" s="107"/>
      <c r="B12" s="108"/>
      <c r="C12" s="90"/>
      <c r="D12" s="90"/>
      <c r="E12" s="90"/>
      <c r="F12" s="150" t="str">
        <f t="shared" si="0"/>
        <v>----</v>
      </c>
    </row>
    <row r="13" spans="1:6">
      <c r="A13" s="107"/>
      <c r="B13" s="108"/>
      <c r="C13" s="90"/>
      <c r="D13" s="90"/>
      <c r="E13" s="90"/>
      <c r="F13" s="150" t="str">
        <f t="shared" si="0"/>
        <v>----</v>
      </c>
    </row>
    <row r="14" spans="1:6">
      <c r="A14" s="107"/>
      <c r="B14" s="108"/>
      <c r="C14" s="90"/>
      <c r="D14" s="90"/>
      <c r="E14" s="90"/>
      <c r="F14" s="150" t="str">
        <f t="shared" si="0"/>
        <v>----</v>
      </c>
    </row>
    <row r="15" spans="1:6">
      <c r="A15" s="107"/>
      <c r="B15" s="108"/>
      <c r="C15" s="90"/>
      <c r="D15" s="90"/>
      <c r="E15" s="90"/>
      <c r="F15" s="150" t="str">
        <f t="shared" si="0"/>
        <v>----</v>
      </c>
    </row>
    <row r="16" spans="1:6">
      <c r="A16" s="107"/>
      <c r="B16" s="108"/>
      <c r="C16" s="90"/>
      <c r="D16" s="90"/>
      <c r="E16" s="90"/>
      <c r="F16" s="150" t="str">
        <f t="shared" si="0"/>
        <v>----</v>
      </c>
    </row>
    <row r="17" spans="1:6">
      <c r="A17" s="107"/>
      <c r="B17" s="108"/>
      <c r="C17" s="90"/>
      <c r="D17" s="90"/>
      <c r="E17" s="90"/>
      <c r="F17" s="150" t="str">
        <f t="shared" si="0"/>
        <v>----</v>
      </c>
    </row>
    <row r="18" spans="1:6">
      <c r="A18" s="107"/>
      <c r="B18" s="108"/>
      <c r="C18" s="90"/>
      <c r="D18" s="90"/>
      <c r="E18" s="90"/>
      <c r="F18" s="150" t="str">
        <f t="shared" si="0"/>
        <v>----</v>
      </c>
    </row>
    <row r="19" spans="1:6">
      <c r="A19" s="123"/>
      <c r="B19" s="124"/>
      <c r="C19" s="125"/>
      <c r="D19" s="125"/>
      <c r="E19" s="125"/>
      <c r="F19" s="150" t="str">
        <f t="shared" si="0"/>
        <v>----</v>
      </c>
    </row>
    <row r="20" spans="1:6" ht="15.75" thickBot="1">
      <c r="A20" s="75"/>
      <c r="B20" s="76"/>
      <c r="C20" s="77"/>
      <c r="D20" s="77"/>
      <c r="E20" s="77"/>
      <c r="F20" s="78" t="str">
        <f>IF(ISBLANK($E20),"----",$E20-$D20)</f>
        <v>----</v>
      </c>
    </row>
    <row r="21" spans="1:6" ht="15.75" thickBot="1">
      <c r="A21" s="28"/>
      <c r="B21" s="28"/>
      <c r="C21" s="29"/>
      <c r="D21" s="29"/>
      <c r="E21" s="29"/>
      <c r="F21" s="70">
        <f>SUM(F3:F20)</f>
        <v>6403.7800000000279</v>
      </c>
    </row>
  </sheetData>
  <mergeCells count="1">
    <mergeCell ref="A1:F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F7"/>
  <sheetViews>
    <sheetView workbookViewId="0">
      <selection activeCell="E3" sqref="E3"/>
    </sheetView>
  </sheetViews>
  <sheetFormatPr defaultRowHeight="15"/>
  <cols>
    <col min="2" max="2" width="21" bestFit="1" customWidth="1"/>
    <col min="3" max="3" width="10" bestFit="1" customWidth="1"/>
    <col min="4" max="4" width="11.5703125" customWidth="1"/>
    <col min="5" max="5" width="10.140625" bestFit="1" customWidth="1"/>
    <col min="6" max="6" width="12.140625" customWidth="1"/>
  </cols>
  <sheetData>
    <row r="1" spans="1:6" ht="15.75" thickBot="1">
      <c r="A1" s="530" t="s">
        <v>269</v>
      </c>
      <c r="B1" s="531"/>
      <c r="C1" s="531"/>
      <c r="D1" s="531"/>
      <c r="E1" s="531"/>
      <c r="F1" s="532"/>
    </row>
    <row r="2" spans="1:6" ht="57.75" thickBot="1">
      <c r="A2" s="25" t="s">
        <v>110</v>
      </c>
      <c r="B2" s="79" t="s">
        <v>111</v>
      </c>
      <c r="C2" s="80" t="s">
        <v>112</v>
      </c>
      <c r="D2" s="80" t="s">
        <v>120</v>
      </c>
      <c r="E2" s="80" t="s">
        <v>121</v>
      </c>
      <c r="F2" s="26" t="s">
        <v>113</v>
      </c>
    </row>
    <row r="3" spans="1:6">
      <c r="A3" s="71">
        <v>44061</v>
      </c>
      <c r="B3" s="72" t="s">
        <v>301</v>
      </c>
      <c r="C3" s="109">
        <v>532653.92000000004</v>
      </c>
      <c r="D3" s="109">
        <v>327828.92</v>
      </c>
      <c r="E3" s="73">
        <v>315755.42</v>
      </c>
      <c r="F3" s="74">
        <f>IF(ISBLANK($E3),"----",$E3-$D3)</f>
        <v>-12073.5</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-12073.5</v>
      </c>
    </row>
  </sheetData>
  <mergeCells count="1">
    <mergeCell ref="A1:F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F22"/>
  <sheetViews>
    <sheetView workbookViewId="0">
      <selection activeCell="E3" sqref="E3"/>
    </sheetView>
  </sheetViews>
  <sheetFormatPr defaultRowHeight="15"/>
  <cols>
    <col min="2" max="2" width="21.42578125" bestFit="1" customWidth="1"/>
    <col min="3" max="5" width="10.140625" bestFit="1" customWidth="1"/>
  </cols>
  <sheetData>
    <row r="1" spans="1:6" ht="15.75" thickBot="1">
      <c r="A1" s="530" t="s">
        <v>270</v>
      </c>
      <c r="B1" s="531"/>
      <c r="C1" s="531"/>
      <c r="D1" s="531"/>
      <c r="E1" s="531"/>
      <c r="F1" s="532"/>
    </row>
    <row r="2" spans="1:6" ht="69" thickBot="1">
      <c r="A2" s="25" t="s">
        <v>110</v>
      </c>
      <c r="B2" s="79" t="s">
        <v>111</v>
      </c>
      <c r="C2" s="80" t="s">
        <v>112</v>
      </c>
      <c r="D2" s="80" t="s">
        <v>120</v>
      </c>
      <c r="E2" s="80" t="s">
        <v>121</v>
      </c>
      <c r="F2" s="26" t="s">
        <v>113</v>
      </c>
    </row>
    <row r="3" spans="1:6">
      <c r="A3" s="71">
        <v>44516</v>
      </c>
      <c r="B3" s="72" t="s">
        <v>468</v>
      </c>
      <c r="C3" s="73">
        <v>818380.7</v>
      </c>
      <c r="D3" s="73">
        <f>C3</f>
        <v>818380.7</v>
      </c>
      <c r="E3" s="73">
        <v>822538.46</v>
      </c>
      <c r="F3" s="74">
        <f>IF(ISBLANK($E3),"----",$E3-$D3)</f>
        <v>4157.7600000000093</v>
      </c>
    </row>
    <row r="4" spans="1:6">
      <c r="A4" s="91"/>
      <c r="B4" s="106"/>
      <c r="C4" s="85"/>
      <c r="D4" s="85"/>
      <c r="E4" s="85"/>
      <c r="F4" s="86" t="str">
        <f t="shared" ref="F4:F18" si="0">IF(ISBLANK($E4),"----",$E4-$D4)</f>
        <v>----</v>
      </c>
    </row>
    <row r="5" spans="1:6">
      <c r="A5" s="91"/>
      <c r="B5" s="106"/>
      <c r="C5" s="85"/>
      <c r="D5" s="85"/>
      <c r="E5" s="85"/>
      <c r="F5" s="86" t="str">
        <f t="shared" si="0"/>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 t="shared" si="0"/>
        <v>----</v>
      </c>
    </row>
    <row r="19" spans="1:6">
      <c r="A19" s="91"/>
      <c r="B19" s="106"/>
      <c r="C19" s="85"/>
      <c r="D19" s="85"/>
      <c r="E19" s="85"/>
      <c r="F19" s="86" t="str">
        <f>IF(ISBLANK($E19),"----",$E19-$D19)</f>
        <v>----</v>
      </c>
    </row>
    <row r="20" spans="1:6">
      <c r="A20" s="94"/>
      <c r="B20" s="95"/>
      <c r="C20" s="87"/>
      <c r="D20" s="87"/>
      <c r="E20" s="87"/>
      <c r="F20" s="88" t="str">
        <f>IF(ISBLANK($E20),"----",$E20-$D20)</f>
        <v>----</v>
      </c>
    </row>
    <row r="21" spans="1:6" ht="15.75" thickBot="1">
      <c r="A21" s="75"/>
      <c r="B21" s="76"/>
      <c r="C21" s="77"/>
      <c r="D21" s="77"/>
      <c r="E21" s="77"/>
      <c r="F21" s="78" t="str">
        <f>IF(ISBLANK($E21),"----",$E21-$D21)</f>
        <v>----</v>
      </c>
    </row>
    <row r="22" spans="1:6" ht="15.75" thickBot="1">
      <c r="A22" s="28"/>
      <c r="B22" s="28"/>
      <c r="C22" s="29"/>
      <c r="D22" s="29"/>
      <c r="E22" s="29"/>
      <c r="F22" s="70">
        <f>SUM(F3:F21)</f>
        <v>4157.7600000000093</v>
      </c>
    </row>
  </sheetData>
  <mergeCells count="1">
    <mergeCell ref="A1:F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G23"/>
  <sheetViews>
    <sheetView workbookViewId="0">
      <selection activeCell="D8" sqref="D8"/>
    </sheetView>
  </sheetViews>
  <sheetFormatPr defaultRowHeight="15"/>
  <cols>
    <col min="1" max="1" width="9.28515625" bestFit="1" customWidth="1"/>
    <col min="2" max="2" width="22.7109375" bestFit="1" customWidth="1"/>
    <col min="3" max="3" width="12" bestFit="1" customWidth="1"/>
    <col min="4" max="4" width="12.42578125" customWidth="1"/>
    <col min="6" max="6" width="11" customWidth="1"/>
  </cols>
  <sheetData>
    <row r="1" spans="1:7" ht="15.75" thickBot="1">
      <c r="A1" s="530" t="s">
        <v>223</v>
      </c>
      <c r="B1" s="531"/>
      <c r="C1" s="531"/>
      <c r="D1" s="531"/>
      <c r="E1" s="531"/>
      <c r="F1" s="532"/>
    </row>
    <row r="2" spans="1:7" ht="57.75" thickBot="1">
      <c r="A2" s="25" t="s">
        <v>110</v>
      </c>
      <c r="B2" s="79" t="s">
        <v>111</v>
      </c>
      <c r="C2" s="80" t="s">
        <v>112</v>
      </c>
      <c r="D2" s="80" t="s">
        <v>120</v>
      </c>
      <c r="E2" s="80" t="s">
        <v>121</v>
      </c>
      <c r="F2" s="26" t="s">
        <v>113</v>
      </c>
    </row>
    <row r="3" spans="1:7">
      <c r="A3" s="71">
        <v>43907</v>
      </c>
      <c r="B3" s="72" t="s">
        <v>224</v>
      </c>
      <c r="C3" s="73">
        <v>248501</v>
      </c>
      <c r="D3" s="73">
        <f>147730.97+51069.83</f>
        <v>198800.8</v>
      </c>
      <c r="E3" s="73"/>
      <c r="F3" s="74" t="str">
        <f>IF(ISBLANK($E3),"----",$E3-$D3)</f>
        <v>----</v>
      </c>
    </row>
    <row r="4" spans="1:7">
      <c r="A4" s="91">
        <v>43907</v>
      </c>
      <c r="B4" s="106" t="s">
        <v>225</v>
      </c>
      <c r="C4" s="85">
        <v>246871</v>
      </c>
      <c r="D4" s="85">
        <v>197496.8</v>
      </c>
      <c r="E4" s="85"/>
      <c r="F4" s="86" t="str">
        <f>IF(ISBLANK($E4),"----",$E4-$D4)</f>
        <v>----</v>
      </c>
    </row>
    <row r="5" spans="1:7">
      <c r="A5" s="107">
        <v>44216</v>
      </c>
      <c r="B5" s="108" t="s">
        <v>381</v>
      </c>
      <c r="C5" s="90">
        <v>510741.75</v>
      </c>
      <c r="D5" s="90">
        <v>128401.75</v>
      </c>
      <c r="E5" s="90"/>
      <c r="F5" s="86" t="str">
        <f t="shared" ref="F5:F20" si="0">IF(ISBLANK($E5),"----",$E5-$D5)</f>
        <v>----</v>
      </c>
    </row>
    <row r="6" spans="1:7">
      <c r="A6" s="235">
        <v>44397</v>
      </c>
      <c r="B6" s="236" t="s">
        <v>444</v>
      </c>
      <c r="C6" s="237">
        <v>1247520.6000000001</v>
      </c>
      <c r="D6" s="237">
        <f>C6</f>
        <v>1247520.6000000001</v>
      </c>
      <c r="E6" s="237"/>
      <c r="F6" s="238" t="str">
        <f t="shared" si="0"/>
        <v>----</v>
      </c>
      <c r="G6" t="s">
        <v>418</v>
      </c>
    </row>
    <row r="7" spans="1:7">
      <c r="A7" s="107">
        <v>44580</v>
      </c>
      <c r="B7" s="108" t="s">
        <v>444</v>
      </c>
      <c r="C7" s="90">
        <v>1345519.35</v>
      </c>
      <c r="D7" s="90">
        <f>C7</f>
        <v>1345519.35</v>
      </c>
      <c r="E7" s="90"/>
      <c r="F7" s="86" t="str">
        <f t="shared" si="0"/>
        <v>----</v>
      </c>
    </row>
    <row r="8" spans="1:7">
      <c r="A8" s="107"/>
      <c r="B8" s="108"/>
      <c r="C8" s="90"/>
      <c r="D8" s="90"/>
      <c r="E8" s="90"/>
      <c r="F8" s="86" t="str">
        <f t="shared" si="0"/>
        <v>----</v>
      </c>
    </row>
    <row r="9" spans="1:7">
      <c r="A9" s="107"/>
      <c r="B9" s="108"/>
      <c r="C9" s="90"/>
      <c r="D9" s="90"/>
      <c r="E9" s="90"/>
      <c r="F9" s="86" t="str">
        <f t="shared" si="0"/>
        <v>----</v>
      </c>
    </row>
    <row r="10" spans="1:7">
      <c r="A10" s="107"/>
      <c r="B10" s="108"/>
      <c r="C10" s="90"/>
      <c r="D10" s="90"/>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07"/>
      <c r="B20" s="108"/>
      <c r="C20" s="90"/>
      <c r="D20" s="90"/>
      <c r="E20" s="90"/>
      <c r="F20" s="86" t="str">
        <f t="shared" si="0"/>
        <v>----</v>
      </c>
    </row>
    <row r="21" spans="1:6">
      <c r="A21" s="123"/>
      <c r="B21" s="124"/>
      <c r="C21" s="125"/>
      <c r="D21" s="125"/>
      <c r="E21" s="125"/>
      <c r="F21" s="86" t="str">
        <f>IF(ISBLANK($E21),"----",$E21-$D21)</f>
        <v>----</v>
      </c>
    </row>
    <row r="22" spans="1:6" ht="15.75" thickBot="1">
      <c r="A22" s="75"/>
      <c r="B22" s="76"/>
      <c r="C22" s="77"/>
      <c r="D22" s="77"/>
      <c r="E22" s="77"/>
      <c r="F22" s="78" t="str">
        <f>IF(ISBLANK($E22),"----",$E22-$D22)</f>
        <v>----</v>
      </c>
    </row>
    <row r="23" spans="1:6" ht="15.75" thickBot="1">
      <c r="A23" s="28"/>
      <c r="B23" s="28"/>
      <c r="C23" s="29"/>
      <c r="D23" s="29"/>
      <c r="E23" s="29"/>
      <c r="F23" s="70">
        <f>SUM(F3:F22)</f>
        <v>0</v>
      </c>
    </row>
  </sheetData>
  <mergeCells count="1">
    <mergeCell ref="A1:F1"/>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G24"/>
  <sheetViews>
    <sheetView workbookViewId="0">
      <selection activeCell="E3" sqref="E3"/>
    </sheetView>
  </sheetViews>
  <sheetFormatPr defaultRowHeight="15"/>
  <cols>
    <col min="2" max="2" width="22.85546875" bestFit="1" customWidth="1"/>
    <col min="3" max="4" width="12" bestFit="1" customWidth="1"/>
    <col min="5" max="5" width="10.140625" bestFit="1" customWidth="1"/>
    <col min="6" max="6" width="13.28515625" customWidth="1"/>
  </cols>
  <sheetData>
    <row r="1" spans="1:7" ht="15.75" thickBot="1">
      <c r="A1" s="530" t="s">
        <v>271</v>
      </c>
      <c r="B1" s="531"/>
      <c r="C1" s="531"/>
      <c r="D1" s="531"/>
      <c r="E1" s="531"/>
      <c r="F1" s="532"/>
    </row>
    <row r="2" spans="1:7" ht="57.75" thickBot="1">
      <c r="A2" s="25" t="s">
        <v>110</v>
      </c>
      <c r="B2" s="79" t="s">
        <v>111</v>
      </c>
      <c r="C2" s="80" t="s">
        <v>112</v>
      </c>
      <c r="D2" s="80" t="s">
        <v>120</v>
      </c>
      <c r="E2" s="80" t="s">
        <v>121</v>
      </c>
      <c r="F2" s="26" t="s">
        <v>113</v>
      </c>
    </row>
    <row r="3" spans="1:7">
      <c r="A3" s="71">
        <v>44089</v>
      </c>
      <c r="B3" s="72" t="s">
        <v>304</v>
      </c>
      <c r="C3" s="73">
        <v>919799.95</v>
      </c>
      <c r="D3" s="73">
        <f>C3</f>
        <v>919799.95</v>
      </c>
      <c r="E3" s="73">
        <v>802676.22</v>
      </c>
      <c r="F3" s="74">
        <f>IF(ISBLANK($E3),"----",$E3-$D3)</f>
        <v>-117123.72999999998</v>
      </c>
    </row>
    <row r="4" spans="1:7">
      <c r="A4" s="91">
        <v>44306</v>
      </c>
      <c r="B4" s="106" t="s">
        <v>427</v>
      </c>
      <c r="C4" s="85">
        <v>440634.6</v>
      </c>
      <c r="D4" s="85">
        <v>352507.68</v>
      </c>
      <c r="E4" s="85"/>
      <c r="F4" s="86" t="str">
        <f>IF(ISBLANK($E4),"----",$E4-$D4)</f>
        <v>----</v>
      </c>
    </row>
    <row r="5" spans="1:7">
      <c r="A5" s="107">
        <v>44397</v>
      </c>
      <c r="B5" s="108" t="s">
        <v>445</v>
      </c>
      <c r="C5" s="90">
        <v>2032576.17</v>
      </c>
      <c r="D5" s="90">
        <v>1076726.17</v>
      </c>
      <c r="E5" s="90"/>
      <c r="F5" s="122" t="str">
        <f t="shared" ref="F5:F22" si="0">IF(ISBLANK($E5),"----",$E5-$D5)</f>
        <v>----</v>
      </c>
    </row>
    <row r="6" spans="1:7">
      <c r="A6" s="107">
        <v>44425</v>
      </c>
      <c r="B6" s="108" t="s">
        <v>448</v>
      </c>
      <c r="C6" s="90">
        <v>2603442.42</v>
      </c>
      <c r="D6" s="90">
        <v>1103442.3999999999</v>
      </c>
      <c r="E6" s="90"/>
      <c r="F6" s="122" t="str">
        <f t="shared" si="0"/>
        <v>----</v>
      </c>
      <c r="G6" t="s">
        <v>449</v>
      </c>
    </row>
    <row r="7" spans="1:7">
      <c r="A7" s="107">
        <v>44460</v>
      </c>
      <c r="B7" s="108" t="s">
        <v>459</v>
      </c>
      <c r="C7" s="90">
        <v>621156.1</v>
      </c>
      <c r="D7" s="90">
        <v>124231.22</v>
      </c>
      <c r="E7" s="90"/>
      <c r="F7" s="122" t="str">
        <f t="shared" si="0"/>
        <v>----</v>
      </c>
    </row>
    <row r="8" spans="1:7">
      <c r="A8" s="107">
        <v>44880</v>
      </c>
      <c r="B8" s="108" t="s">
        <v>599</v>
      </c>
      <c r="C8" s="90">
        <v>2462334.34</v>
      </c>
      <c r="D8" s="90">
        <v>1462334.34</v>
      </c>
      <c r="E8" s="90"/>
      <c r="F8" s="122" t="str">
        <f t="shared" si="0"/>
        <v>----</v>
      </c>
      <c r="G8" t="s">
        <v>600</v>
      </c>
    </row>
    <row r="9" spans="1:7">
      <c r="A9" s="107"/>
      <c r="B9" s="108"/>
      <c r="C9" s="90"/>
      <c r="D9" s="90"/>
      <c r="E9" s="90"/>
      <c r="F9" s="122" t="str">
        <f t="shared" si="0"/>
        <v>----</v>
      </c>
    </row>
    <row r="10" spans="1:7">
      <c r="A10" s="107"/>
      <c r="B10" s="108"/>
      <c r="C10" s="90"/>
      <c r="D10" s="90"/>
      <c r="E10" s="90"/>
      <c r="F10" s="122" t="str">
        <f t="shared" si="0"/>
        <v>----</v>
      </c>
    </row>
    <row r="11" spans="1:7">
      <c r="A11" s="107"/>
      <c r="B11" s="108"/>
      <c r="C11" s="90"/>
      <c r="D11" s="90"/>
      <c r="E11" s="90"/>
      <c r="F11" s="122" t="str">
        <f t="shared" si="0"/>
        <v>----</v>
      </c>
    </row>
    <row r="12" spans="1:7">
      <c r="A12" s="107"/>
      <c r="B12" s="108"/>
      <c r="C12" s="90"/>
      <c r="D12" s="90"/>
      <c r="E12" s="90"/>
      <c r="F12" s="122" t="str">
        <f t="shared" si="0"/>
        <v>----</v>
      </c>
    </row>
    <row r="13" spans="1:7">
      <c r="A13" s="107"/>
      <c r="B13" s="108"/>
      <c r="C13" s="90"/>
      <c r="D13" s="90"/>
      <c r="E13" s="90"/>
      <c r="F13" s="122" t="str">
        <f t="shared" si="0"/>
        <v>----</v>
      </c>
    </row>
    <row r="14" spans="1:7">
      <c r="A14" s="107"/>
      <c r="B14" s="108"/>
      <c r="C14" s="90"/>
      <c r="D14" s="90"/>
      <c r="E14" s="90"/>
      <c r="F14" s="122" t="str">
        <f t="shared" si="0"/>
        <v>----</v>
      </c>
    </row>
    <row r="15" spans="1:7">
      <c r="A15" s="107"/>
      <c r="B15" s="108"/>
      <c r="C15" s="90"/>
      <c r="D15" s="90"/>
      <c r="E15" s="90"/>
      <c r="F15" s="122" t="str">
        <f t="shared" si="0"/>
        <v>----</v>
      </c>
    </row>
    <row r="16" spans="1:7">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23"/>
      <c r="B22" s="124"/>
      <c r="C22" s="125"/>
      <c r="D22" s="125"/>
      <c r="E22" s="125"/>
      <c r="F22" s="126" t="str">
        <f t="shared" si="0"/>
        <v>----</v>
      </c>
    </row>
    <row r="23" spans="1:6" ht="15.75" thickBot="1">
      <c r="A23" s="75"/>
      <c r="B23" s="76"/>
      <c r="C23" s="77"/>
      <c r="D23" s="77"/>
      <c r="E23" s="77"/>
      <c r="F23" s="78" t="str">
        <f>IF(ISBLANK($E23),"----",$E23-$D23)</f>
        <v>----</v>
      </c>
    </row>
    <row r="24" spans="1:6" ht="15.75" thickBot="1">
      <c r="A24" s="28"/>
      <c r="B24" s="28"/>
      <c r="C24" s="29"/>
      <c r="D24" s="29"/>
      <c r="E24" s="29"/>
      <c r="F24" s="70">
        <f>SUM(F3:F23)</f>
        <v>-117123.72999999998</v>
      </c>
    </row>
  </sheetData>
  <mergeCells count="1">
    <mergeCell ref="A1:F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F24"/>
  <sheetViews>
    <sheetView workbookViewId="0">
      <selection activeCell="H15" sqref="H15"/>
    </sheetView>
  </sheetViews>
  <sheetFormatPr defaultRowHeight="15"/>
  <cols>
    <col min="2" max="2" width="22.7109375" bestFit="1" customWidth="1"/>
    <col min="3" max="4" width="12" bestFit="1" customWidth="1"/>
  </cols>
  <sheetData>
    <row r="1" spans="1:6" ht="15.75" thickBot="1">
      <c r="A1" s="530" t="s">
        <v>272</v>
      </c>
      <c r="B1" s="531"/>
      <c r="C1" s="531"/>
      <c r="D1" s="531"/>
      <c r="E1" s="531"/>
      <c r="F1" s="532"/>
    </row>
    <row r="2" spans="1:6" ht="69" thickBot="1">
      <c r="A2" s="25" t="s">
        <v>110</v>
      </c>
      <c r="B2" s="79" t="s">
        <v>111</v>
      </c>
      <c r="C2" s="80" t="s">
        <v>112</v>
      </c>
      <c r="D2" s="80" t="s">
        <v>120</v>
      </c>
      <c r="E2" s="80" t="s">
        <v>121</v>
      </c>
      <c r="F2" s="26" t="s">
        <v>113</v>
      </c>
    </row>
    <row r="3" spans="1:6">
      <c r="A3" s="71">
        <v>44089</v>
      </c>
      <c r="B3" s="72" t="s">
        <v>305</v>
      </c>
      <c r="C3" s="73">
        <v>685720.75</v>
      </c>
      <c r="D3" s="73">
        <f>C3</f>
        <v>685720.75</v>
      </c>
      <c r="E3" s="73"/>
      <c r="F3" s="74" t="str">
        <f>IF(ISBLANK($E3),"----",$E3-$D3)</f>
        <v>----</v>
      </c>
    </row>
    <row r="4" spans="1:6">
      <c r="A4" s="91">
        <v>44425</v>
      </c>
      <c r="B4" s="106" t="s">
        <v>450</v>
      </c>
      <c r="C4" s="85">
        <v>625503.4</v>
      </c>
      <c r="D4" s="85">
        <f>C4</f>
        <v>625503.4</v>
      </c>
      <c r="E4" s="85"/>
      <c r="F4" s="86" t="str">
        <f>IF(ISBLANK($E4),"----",$E4-$D4)</f>
        <v>----</v>
      </c>
    </row>
    <row r="5" spans="1:6">
      <c r="A5" s="107">
        <v>45216</v>
      </c>
      <c r="B5" s="108" t="s">
        <v>687</v>
      </c>
      <c r="C5" s="415">
        <v>2878038.12</v>
      </c>
      <c r="D5" s="415">
        <f>C5</f>
        <v>2878038.12</v>
      </c>
      <c r="E5" s="90"/>
      <c r="F5" s="122" t="str">
        <f t="shared" ref="F5:F21" si="0">IF(ISBLANK($E5),"----",$E5-$D5)</f>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94"/>
      <c r="B22" s="95"/>
      <c r="C22" s="87"/>
      <c r="D22" s="87"/>
      <c r="E22" s="87"/>
      <c r="F22" s="88" t="str">
        <f>IF(ISBLANK($E22),"----",$E22-$D22)</f>
        <v>----</v>
      </c>
    </row>
    <row r="23" spans="1:6" ht="15.75" thickBot="1">
      <c r="A23" s="75"/>
      <c r="B23" s="76"/>
      <c r="C23" s="77"/>
      <c r="D23" s="77"/>
      <c r="E23" s="77"/>
      <c r="F23" s="78" t="str">
        <f>IF(ISBLANK($E23),"----",$E23-$D23)</f>
        <v>----</v>
      </c>
    </row>
    <row r="24" spans="1:6" ht="15.75" thickBot="1">
      <c r="A24" s="28"/>
      <c r="B24" s="28"/>
      <c r="C24" s="29"/>
      <c r="D24" s="29"/>
      <c r="E24" s="29"/>
      <c r="F24" s="70">
        <f>SUM(F3:F23)</f>
        <v>0</v>
      </c>
    </row>
  </sheetData>
  <mergeCells count="1">
    <mergeCell ref="A1:F1"/>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F14"/>
  <sheetViews>
    <sheetView workbookViewId="0">
      <selection activeCell="E6" sqref="E3:E6"/>
    </sheetView>
  </sheetViews>
  <sheetFormatPr defaultRowHeight="15"/>
  <cols>
    <col min="2" max="2" width="23.7109375" bestFit="1" customWidth="1"/>
    <col min="3" max="4" width="11.42578125" bestFit="1" customWidth="1"/>
    <col min="5" max="5" width="10.140625" bestFit="1" customWidth="1"/>
    <col min="6" max="6" width="9.85546875" bestFit="1" customWidth="1"/>
  </cols>
  <sheetData>
    <row r="1" spans="1:6" ht="15.75" thickBot="1">
      <c r="A1" s="530" t="s">
        <v>273</v>
      </c>
      <c r="B1" s="531"/>
      <c r="C1" s="531"/>
      <c r="D1" s="531"/>
      <c r="E1" s="531"/>
      <c r="F1" s="532"/>
    </row>
    <row r="2" spans="1:6" ht="57.75" thickBot="1">
      <c r="A2" s="25" t="s">
        <v>110</v>
      </c>
      <c r="B2" s="79" t="s">
        <v>111</v>
      </c>
      <c r="C2" s="80" t="s">
        <v>112</v>
      </c>
      <c r="D2" s="80" t="s">
        <v>120</v>
      </c>
      <c r="E2" s="80" t="s">
        <v>121</v>
      </c>
      <c r="F2" s="26" t="s">
        <v>113</v>
      </c>
    </row>
    <row r="3" spans="1:6">
      <c r="A3" s="71">
        <v>44153</v>
      </c>
      <c r="B3" s="72" t="s">
        <v>334</v>
      </c>
      <c r="C3" s="73">
        <v>412865.8</v>
      </c>
      <c r="D3" s="73">
        <f>C3</f>
        <v>412865.8</v>
      </c>
      <c r="E3" s="73">
        <v>412152.7</v>
      </c>
      <c r="F3" s="74">
        <f>IF(ISBLANK($E3),"----",$E3-$D3)</f>
        <v>-713.09999999997672</v>
      </c>
    </row>
    <row r="4" spans="1:6">
      <c r="A4" s="91">
        <v>44488</v>
      </c>
      <c r="B4" s="106" t="s">
        <v>463</v>
      </c>
      <c r="C4" s="85">
        <v>849684.67</v>
      </c>
      <c r="D4" s="85">
        <f>C4</f>
        <v>849684.67</v>
      </c>
      <c r="E4" s="85">
        <v>804253.06</v>
      </c>
      <c r="F4" s="86">
        <f>IF(ISBLANK($E4),"----",$E4-$D4)</f>
        <v>-45431.609999999986</v>
      </c>
    </row>
    <row r="5" spans="1:6">
      <c r="A5" s="91">
        <v>45153</v>
      </c>
      <c r="B5" s="106" t="s">
        <v>677</v>
      </c>
      <c r="C5" s="430">
        <v>2862114.42</v>
      </c>
      <c r="D5" s="430">
        <f>C5-20000</f>
        <v>2842114.42</v>
      </c>
      <c r="E5" s="85"/>
      <c r="F5" s="86" t="str">
        <f t="shared" ref="F5:F12" si="0">IF(ISBLANK($E5),"----",$E5-$D5)</f>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ht="15.75" thickBot="1">
      <c r="A13" s="75"/>
      <c r="B13" s="76"/>
      <c r="C13" s="77"/>
      <c r="D13" s="77"/>
      <c r="E13" s="77"/>
      <c r="F13" s="78" t="str">
        <f>IF(ISBLANK($E13),"----",$E13-$D13)</f>
        <v>----</v>
      </c>
    </row>
    <row r="14" spans="1:6" ht="15.75" thickBot="1">
      <c r="A14" s="28"/>
      <c r="B14" s="28"/>
      <c r="C14" s="29"/>
      <c r="D14" s="29"/>
      <c r="E14" s="29"/>
      <c r="F14" s="70">
        <f>SUM(F3:F13)</f>
        <v>-46144.709999999963</v>
      </c>
    </row>
  </sheetData>
  <mergeCells count="1">
    <mergeCell ref="A1:F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H24"/>
  <sheetViews>
    <sheetView workbookViewId="0">
      <selection activeCell="D7" sqref="D7"/>
    </sheetView>
  </sheetViews>
  <sheetFormatPr defaultRowHeight="15"/>
  <cols>
    <col min="2" max="2" width="23.5703125" bestFit="1" customWidth="1"/>
    <col min="3" max="3" width="12" bestFit="1" customWidth="1"/>
    <col min="4" max="4" width="12.28515625" customWidth="1"/>
    <col min="6" max="6" width="13.85546875" customWidth="1"/>
  </cols>
  <sheetData>
    <row r="1" spans="1:8" ht="15.75" thickBot="1">
      <c r="A1" s="530" t="s">
        <v>226</v>
      </c>
      <c r="B1" s="531"/>
      <c r="C1" s="531"/>
      <c r="D1" s="531"/>
      <c r="E1" s="531"/>
      <c r="F1" s="532"/>
    </row>
    <row r="2" spans="1:8" ht="57.75" thickBot="1">
      <c r="A2" s="25" t="s">
        <v>110</v>
      </c>
      <c r="B2" s="79" t="s">
        <v>111</v>
      </c>
      <c r="C2" s="80" t="s">
        <v>112</v>
      </c>
      <c r="D2" s="80" t="s">
        <v>120</v>
      </c>
      <c r="E2" s="80" t="s">
        <v>121</v>
      </c>
      <c r="F2" s="26" t="s">
        <v>113</v>
      </c>
    </row>
    <row r="3" spans="1:8">
      <c r="A3" s="71">
        <v>43907</v>
      </c>
      <c r="B3" s="72" t="s">
        <v>227</v>
      </c>
      <c r="C3" s="73">
        <v>1281590.32</v>
      </c>
      <c r="D3" s="73">
        <f>C3</f>
        <v>1281590.32</v>
      </c>
      <c r="E3" s="73"/>
      <c r="F3" s="74" t="str">
        <f>IF(ISBLANK($E3),"----",$E3-$D3)</f>
        <v>----</v>
      </c>
    </row>
    <row r="4" spans="1:8">
      <c r="A4" s="91">
        <v>43907</v>
      </c>
      <c r="B4" s="106" t="s">
        <v>228</v>
      </c>
      <c r="C4" s="85">
        <v>1298278.68</v>
      </c>
      <c r="D4" s="85">
        <f>C4</f>
        <v>1298278.68</v>
      </c>
      <c r="E4" s="85"/>
      <c r="F4" s="86" t="str">
        <f>IF(ISBLANK($E4),"----",$E4-$D4)</f>
        <v>----</v>
      </c>
    </row>
    <row r="5" spans="1:8">
      <c r="A5" s="107">
        <v>44216</v>
      </c>
      <c r="B5" s="108" t="s">
        <v>382</v>
      </c>
      <c r="C5" s="90">
        <v>668066.63</v>
      </c>
      <c r="D5" s="90">
        <v>340346.63</v>
      </c>
      <c r="E5" s="90"/>
      <c r="F5" s="86" t="str">
        <f t="shared" ref="F5:F22" si="0">IF(ISBLANK($E5),"----",$E5-$D5)</f>
        <v>----</v>
      </c>
    </row>
    <row r="6" spans="1:8">
      <c r="A6" s="107">
        <v>44880</v>
      </c>
      <c r="B6" s="108" t="s">
        <v>601</v>
      </c>
      <c r="C6" s="90">
        <v>1427198.19</v>
      </c>
      <c r="D6" s="90">
        <f>C6</f>
        <v>1427198.19</v>
      </c>
      <c r="E6" s="90"/>
      <c r="F6" s="86" t="str">
        <f t="shared" si="0"/>
        <v>----</v>
      </c>
      <c r="H6" t="s">
        <v>517</v>
      </c>
    </row>
    <row r="7" spans="1:8">
      <c r="A7" s="107"/>
      <c r="B7" s="108"/>
      <c r="C7" s="90"/>
      <c r="D7" s="90"/>
      <c r="E7" s="90"/>
      <c r="F7" s="86" t="str">
        <f t="shared" si="0"/>
        <v>----</v>
      </c>
    </row>
    <row r="8" spans="1:8">
      <c r="A8" s="107"/>
      <c r="B8" s="108"/>
      <c r="C8" s="90"/>
      <c r="D8" s="90"/>
      <c r="E8" s="90"/>
      <c r="F8" s="86" t="str">
        <f t="shared" si="0"/>
        <v>----</v>
      </c>
    </row>
    <row r="9" spans="1:8">
      <c r="A9" s="107"/>
      <c r="B9" s="108"/>
      <c r="C9" s="90"/>
      <c r="D9" s="90"/>
      <c r="E9" s="90"/>
      <c r="F9" s="86" t="str">
        <f t="shared" si="0"/>
        <v>----</v>
      </c>
    </row>
    <row r="10" spans="1:8">
      <c r="A10" s="107"/>
      <c r="B10" s="108"/>
      <c r="C10" s="90"/>
      <c r="D10" s="90"/>
      <c r="E10" s="90"/>
      <c r="F10" s="86" t="str">
        <f t="shared" si="0"/>
        <v>----</v>
      </c>
    </row>
    <row r="11" spans="1:8">
      <c r="A11" s="107"/>
      <c r="B11" s="108"/>
      <c r="C11" s="90"/>
      <c r="D11" s="90"/>
      <c r="E11" s="90"/>
      <c r="F11" s="86" t="str">
        <f t="shared" si="0"/>
        <v>----</v>
      </c>
    </row>
    <row r="12" spans="1:8">
      <c r="A12" s="107"/>
      <c r="B12" s="108"/>
      <c r="C12" s="90"/>
      <c r="D12" s="90"/>
      <c r="E12" s="90"/>
      <c r="F12" s="86" t="str">
        <f t="shared" si="0"/>
        <v>----</v>
      </c>
    </row>
    <row r="13" spans="1:8">
      <c r="A13" s="107"/>
      <c r="B13" s="108"/>
      <c r="C13" s="90"/>
      <c r="D13" s="90"/>
      <c r="E13" s="90"/>
      <c r="F13" s="86" t="str">
        <f t="shared" si="0"/>
        <v>----</v>
      </c>
    </row>
    <row r="14" spans="1:8">
      <c r="A14" s="107"/>
      <c r="B14" s="108"/>
      <c r="C14" s="90"/>
      <c r="D14" s="90"/>
      <c r="E14" s="90"/>
      <c r="F14" s="86" t="str">
        <f t="shared" si="0"/>
        <v>----</v>
      </c>
    </row>
    <row r="15" spans="1:8">
      <c r="A15" s="107"/>
      <c r="B15" s="108"/>
      <c r="C15" s="90"/>
      <c r="D15" s="90"/>
      <c r="E15" s="90"/>
      <c r="F15" s="86" t="str">
        <f t="shared" si="0"/>
        <v>----</v>
      </c>
    </row>
    <row r="16" spans="1:8">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07"/>
      <c r="B20" s="108"/>
      <c r="C20" s="90"/>
      <c r="D20" s="90"/>
      <c r="E20" s="90"/>
      <c r="F20" s="86" t="str">
        <f t="shared" si="0"/>
        <v>----</v>
      </c>
    </row>
    <row r="21" spans="1:6">
      <c r="A21" s="107"/>
      <c r="B21" s="108"/>
      <c r="C21" s="90"/>
      <c r="D21" s="90"/>
      <c r="E21" s="90"/>
      <c r="F21" s="86" t="str">
        <f t="shared" si="0"/>
        <v>----</v>
      </c>
    </row>
    <row r="22" spans="1:6">
      <c r="A22" s="123"/>
      <c r="B22" s="124"/>
      <c r="C22" s="125"/>
      <c r="D22" s="125"/>
      <c r="E22" s="125"/>
      <c r="F22" s="86" t="str">
        <f t="shared" si="0"/>
        <v>----</v>
      </c>
    </row>
    <row r="23" spans="1:6" ht="15.75" thickBot="1">
      <c r="A23" s="75"/>
      <c r="B23" s="76"/>
      <c r="C23" s="77"/>
      <c r="D23" s="77"/>
      <c r="E23" s="77"/>
      <c r="F23" s="78" t="str">
        <f>IF(ISBLANK($E23),"----",$E23-$D23)</f>
        <v>----</v>
      </c>
    </row>
    <row r="24" spans="1:6" ht="15.75" thickBot="1">
      <c r="A24" s="28"/>
      <c r="B24" s="28"/>
      <c r="C24" s="29"/>
      <c r="D24" s="29"/>
      <c r="E24" s="29"/>
      <c r="F24" s="70">
        <f>SUM(F3:F23)</f>
        <v>0</v>
      </c>
    </row>
  </sheetData>
  <mergeCells count="1">
    <mergeCell ref="A1:F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F23"/>
  <sheetViews>
    <sheetView workbookViewId="0">
      <selection activeCell="H17" sqref="H17"/>
    </sheetView>
  </sheetViews>
  <sheetFormatPr defaultRowHeight="15"/>
  <cols>
    <col min="2" max="2" width="22.85546875" bestFit="1" customWidth="1"/>
    <col min="3" max="4" width="10.42578125" bestFit="1" customWidth="1"/>
  </cols>
  <sheetData>
    <row r="1" spans="1:6" ht="15.75" thickBot="1">
      <c r="A1" s="530" t="s">
        <v>274</v>
      </c>
      <c r="B1" s="531"/>
      <c r="C1" s="531"/>
      <c r="D1" s="531"/>
      <c r="E1" s="531"/>
      <c r="F1" s="532"/>
    </row>
    <row r="2" spans="1:6" ht="69" thickBot="1">
      <c r="A2" s="25" t="s">
        <v>110</v>
      </c>
      <c r="B2" s="79" t="s">
        <v>111</v>
      </c>
      <c r="C2" s="80" t="s">
        <v>112</v>
      </c>
      <c r="D2" s="80" t="s">
        <v>120</v>
      </c>
      <c r="E2" s="80" t="s">
        <v>121</v>
      </c>
      <c r="F2" s="26" t="s">
        <v>113</v>
      </c>
    </row>
    <row r="3" spans="1:6">
      <c r="A3" s="71">
        <v>44733</v>
      </c>
      <c r="B3" s="280" t="s">
        <v>543</v>
      </c>
      <c r="C3" s="73">
        <v>614467</v>
      </c>
      <c r="D3" s="73">
        <f>C3</f>
        <v>614467</v>
      </c>
      <c r="E3" s="73"/>
      <c r="F3" s="74" t="str">
        <f>IF(ISBLANK($E3),"----",$E3-$D3)</f>
        <v>----</v>
      </c>
    </row>
    <row r="4" spans="1:6">
      <c r="A4" s="91"/>
      <c r="B4" s="281"/>
      <c r="C4" s="85"/>
      <c r="D4" s="85"/>
      <c r="E4" s="85"/>
      <c r="F4" s="86" t="str">
        <f t="shared" ref="F4:F19" si="0">IF(ISBLANK($E4),"----",$E4-$D4)</f>
        <v>----</v>
      </c>
    </row>
    <row r="5" spans="1:6">
      <c r="A5" s="91"/>
      <c r="B5" s="281"/>
      <c r="C5" s="85"/>
      <c r="D5" s="85"/>
      <c r="E5" s="85"/>
      <c r="F5" s="86" t="str">
        <f t="shared" si="0"/>
        <v>----</v>
      </c>
    </row>
    <row r="6" spans="1:6">
      <c r="A6" s="91"/>
      <c r="B6" s="281"/>
      <c r="C6" s="85"/>
      <c r="D6" s="85"/>
      <c r="E6" s="85"/>
      <c r="F6" s="86" t="str">
        <f t="shared" si="0"/>
        <v>----</v>
      </c>
    </row>
    <row r="7" spans="1:6">
      <c r="A7" s="91"/>
      <c r="B7" s="281"/>
      <c r="C7" s="85"/>
      <c r="D7" s="85"/>
      <c r="E7" s="85"/>
      <c r="F7" s="86" t="str">
        <f t="shared" si="0"/>
        <v>----</v>
      </c>
    </row>
    <row r="8" spans="1:6">
      <c r="A8" s="91"/>
      <c r="B8" s="281"/>
      <c r="C8" s="85"/>
      <c r="D8" s="85"/>
      <c r="E8" s="85"/>
      <c r="F8" s="86" t="str">
        <f t="shared" si="0"/>
        <v>----</v>
      </c>
    </row>
    <row r="9" spans="1:6">
      <c r="A9" s="91"/>
      <c r="B9" s="281"/>
      <c r="C9" s="85"/>
      <c r="D9" s="85"/>
      <c r="E9" s="85"/>
      <c r="F9" s="86" t="str">
        <f t="shared" si="0"/>
        <v>----</v>
      </c>
    </row>
    <row r="10" spans="1:6">
      <c r="A10" s="91"/>
      <c r="B10" s="281"/>
      <c r="C10" s="85"/>
      <c r="D10" s="85"/>
      <c r="E10" s="85"/>
      <c r="F10" s="86" t="str">
        <f t="shared" si="0"/>
        <v>----</v>
      </c>
    </row>
    <row r="11" spans="1:6">
      <c r="A11" s="91"/>
      <c r="B11" s="281"/>
      <c r="C11" s="85"/>
      <c r="D11" s="85"/>
      <c r="E11" s="85"/>
      <c r="F11" s="86" t="str">
        <f t="shared" si="0"/>
        <v>----</v>
      </c>
    </row>
    <row r="12" spans="1:6">
      <c r="A12" s="91"/>
      <c r="B12" s="281"/>
      <c r="C12" s="85"/>
      <c r="D12" s="85"/>
      <c r="E12" s="85"/>
      <c r="F12" s="86" t="str">
        <f t="shared" si="0"/>
        <v>----</v>
      </c>
    </row>
    <row r="13" spans="1:6">
      <c r="A13" s="91"/>
      <c r="B13" s="281"/>
      <c r="C13" s="85"/>
      <c r="D13" s="85"/>
      <c r="E13" s="85"/>
      <c r="F13" s="86" t="str">
        <f t="shared" si="0"/>
        <v>----</v>
      </c>
    </row>
    <row r="14" spans="1:6">
      <c r="A14" s="91"/>
      <c r="B14" s="281"/>
      <c r="C14" s="85"/>
      <c r="D14" s="85"/>
      <c r="E14" s="85"/>
      <c r="F14" s="86" t="str">
        <f t="shared" si="0"/>
        <v>----</v>
      </c>
    </row>
    <row r="15" spans="1:6">
      <c r="A15" s="91"/>
      <c r="B15" s="281"/>
      <c r="C15" s="85"/>
      <c r="D15" s="85"/>
      <c r="E15" s="85"/>
      <c r="F15" s="86" t="str">
        <f t="shared" si="0"/>
        <v>----</v>
      </c>
    </row>
    <row r="16" spans="1:6">
      <c r="A16" s="91"/>
      <c r="B16" s="281"/>
      <c r="C16" s="85"/>
      <c r="D16" s="85"/>
      <c r="E16" s="85"/>
      <c r="F16" s="86" t="str">
        <f t="shared" si="0"/>
        <v>----</v>
      </c>
    </row>
    <row r="17" spans="1:6">
      <c r="A17" s="91"/>
      <c r="B17" s="281"/>
      <c r="C17" s="85"/>
      <c r="D17" s="85"/>
      <c r="E17" s="85"/>
      <c r="F17" s="86" t="str">
        <f t="shared" si="0"/>
        <v>----</v>
      </c>
    </row>
    <row r="18" spans="1:6">
      <c r="A18" s="91"/>
      <c r="B18" s="281"/>
      <c r="C18" s="85"/>
      <c r="D18" s="85"/>
      <c r="E18" s="85"/>
      <c r="F18" s="86" t="str">
        <f t="shared" si="0"/>
        <v>----</v>
      </c>
    </row>
    <row r="19" spans="1:6">
      <c r="A19" s="91"/>
      <c r="B19" s="281"/>
      <c r="C19" s="85"/>
      <c r="D19" s="85"/>
      <c r="E19" s="85"/>
      <c r="F19" s="86" t="str">
        <f t="shared" si="0"/>
        <v>----</v>
      </c>
    </row>
    <row r="20" spans="1:6">
      <c r="A20" s="91"/>
      <c r="B20" s="281"/>
      <c r="C20" s="85"/>
      <c r="D20" s="85"/>
      <c r="E20" s="85"/>
      <c r="F20" s="86" t="str">
        <f>IF(ISBLANK($E20),"----",$E20-$D20)</f>
        <v>----</v>
      </c>
    </row>
    <row r="21" spans="1:6">
      <c r="A21" s="94"/>
      <c r="B21" s="283"/>
      <c r="C21" s="87"/>
      <c r="D21" s="87"/>
      <c r="E21" s="87"/>
      <c r="F21" s="88" t="str">
        <f>IF(ISBLANK($E21),"----",$E21-$D21)</f>
        <v>----</v>
      </c>
    </row>
    <row r="22" spans="1:6" ht="15.75" thickBot="1">
      <c r="A22" s="75"/>
      <c r="B22" s="76"/>
      <c r="C22" s="77"/>
      <c r="D22" s="77"/>
      <c r="E22" s="77"/>
      <c r="F22" s="78" t="str">
        <f>IF(ISBLANK($E22),"----",$E22-$D22)</f>
        <v>----</v>
      </c>
    </row>
    <row r="23" spans="1:6" ht="15.75" thickBot="1">
      <c r="A23" s="28"/>
      <c r="B23" s="28"/>
      <c r="C23" s="29"/>
      <c r="D23" s="29"/>
      <c r="E23" s="29"/>
      <c r="F23" s="70">
        <f>SUM(F3:F22)</f>
        <v>0</v>
      </c>
    </row>
  </sheetData>
  <mergeCells count="1">
    <mergeCell ref="A1:F1"/>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F19"/>
  <sheetViews>
    <sheetView workbookViewId="0">
      <selection activeCell="E3" sqref="E3"/>
    </sheetView>
  </sheetViews>
  <sheetFormatPr defaultRowHeight="15"/>
  <cols>
    <col min="2" max="2" width="22.85546875" bestFit="1" customWidth="1"/>
    <col min="3" max="4" width="12" bestFit="1" customWidth="1"/>
    <col min="5" max="5" width="10.140625" bestFit="1" customWidth="1"/>
    <col min="6" max="6" width="9.85546875" bestFit="1" customWidth="1"/>
  </cols>
  <sheetData>
    <row r="1" spans="1:6" ht="15.75" thickBot="1">
      <c r="A1" s="530" t="s">
        <v>275</v>
      </c>
      <c r="B1" s="531"/>
      <c r="C1" s="531"/>
      <c r="D1" s="531"/>
      <c r="E1" s="531"/>
      <c r="F1" s="532"/>
    </row>
    <row r="2" spans="1:6" ht="57.75" thickBot="1">
      <c r="A2" s="25" t="s">
        <v>110</v>
      </c>
      <c r="B2" s="79" t="s">
        <v>111</v>
      </c>
      <c r="C2" s="80" t="s">
        <v>112</v>
      </c>
      <c r="D2" s="80" t="s">
        <v>120</v>
      </c>
      <c r="E2" s="80" t="s">
        <v>121</v>
      </c>
      <c r="F2" s="26" t="s">
        <v>113</v>
      </c>
    </row>
    <row r="3" spans="1:6">
      <c r="A3" s="71">
        <v>44180</v>
      </c>
      <c r="B3" s="72" t="s">
        <v>364</v>
      </c>
      <c r="C3" s="73">
        <v>736617.42</v>
      </c>
      <c r="D3" s="73">
        <f>C3</f>
        <v>736617.42</v>
      </c>
      <c r="E3" s="73">
        <v>741305.23</v>
      </c>
      <c r="F3" s="74">
        <f>IF(ISBLANK($E3),"----",$E3-$D3)</f>
        <v>4687.8099999999395</v>
      </c>
    </row>
    <row r="4" spans="1:6">
      <c r="A4" s="91">
        <v>44271</v>
      </c>
      <c r="B4" s="106" t="s">
        <v>409</v>
      </c>
      <c r="C4" s="85">
        <v>675856.4</v>
      </c>
      <c r="D4" s="85">
        <v>484686.4</v>
      </c>
      <c r="E4" s="85"/>
      <c r="F4" s="86" t="str">
        <f t="shared" ref="F4:F13" si="0">IF(ISBLANK($E4),"----",$E4-$D4)</f>
        <v>----</v>
      </c>
    </row>
    <row r="5" spans="1:6">
      <c r="A5" s="94">
        <v>44670</v>
      </c>
      <c r="B5" s="95" t="s">
        <v>521</v>
      </c>
      <c r="C5" s="87">
        <v>398346.3</v>
      </c>
      <c r="D5" s="87">
        <f>C5</f>
        <v>398346.3</v>
      </c>
      <c r="E5" s="87"/>
      <c r="F5" s="88" t="str">
        <f t="shared" si="0"/>
        <v>----</v>
      </c>
    </row>
    <row r="6" spans="1:6">
      <c r="A6" s="91">
        <v>45006</v>
      </c>
      <c r="B6" s="414" t="s">
        <v>663</v>
      </c>
      <c r="C6" s="413">
        <v>1071339.8999999999</v>
      </c>
      <c r="D6" s="413">
        <f>C6</f>
        <v>1071339.8999999999</v>
      </c>
      <c r="E6" s="85"/>
      <c r="F6" s="86" t="str">
        <f t="shared" si="0"/>
        <v>----</v>
      </c>
    </row>
    <row r="7" spans="1:6">
      <c r="A7" s="94"/>
      <c r="B7" s="95"/>
      <c r="C7" s="87"/>
      <c r="D7" s="87"/>
      <c r="E7" s="87"/>
      <c r="F7" s="88" t="str">
        <f t="shared" si="0"/>
        <v>----</v>
      </c>
    </row>
    <row r="8" spans="1:6">
      <c r="A8" s="91"/>
      <c r="B8" s="106"/>
      <c r="C8" s="85"/>
      <c r="D8" s="85"/>
      <c r="E8" s="85"/>
      <c r="F8" s="86" t="str">
        <f>IF(ISBLANK($E8),"----",$E8-$D8)</f>
        <v>----</v>
      </c>
    </row>
    <row r="9" spans="1:6">
      <c r="A9" s="94"/>
      <c r="B9" s="95"/>
      <c r="C9" s="87"/>
      <c r="D9" s="87"/>
      <c r="E9" s="87"/>
      <c r="F9" s="88" t="str">
        <f>IF(ISBLANK($E9),"----",$E9-$D9)</f>
        <v>----</v>
      </c>
    </row>
    <row r="10" spans="1:6">
      <c r="A10" s="91"/>
      <c r="B10" s="106"/>
      <c r="C10" s="85"/>
      <c r="D10" s="85"/>
      <c r="E10" s="85"/>
      <c r="F10" s="86" t="str">
        <f>IF(ISBLANK($E10),"----",$E10-$D10)</f>
        <v>----</v>
      </c>
    </row>
    <row r="11" spans="1:6">
      <c r="A11" s="94"/>
      <c r="B11" s="95"/>
      <c r="C11" s="87"/>
      <c r="D11" s="87"/>
      <c r="E11" s="87"/>
      <c r="F11" s="88" t="str">
        <f t="shared" si="0"/>
        <v>----</v>
      </c>
    </row>
    <row r="12" spans="1:6">
      <c r="A12" s="91"/>
      <c r="B12" s="106"/>
      <c r="C12" s="85"/>
      <c r="D12" s="85"/>
      <c r="E12" s="85"/>
      <c r="F12" s="86" t="str">
        <f t="shared" si="0"/>
        <v>----</v>
      </c>
    </row>
    <row r="13" spans="1:6">
      <c r="A13" s="94"/>
      <c r="B13" s="95"/>
      <c r="C13" s="87"/>
      <c r="D13" s="87"/>
      <c r="E13" s="87"/>
      <c r="F13" s="88" t="str">
        <f t="shared" si="0"/>
        <v>----</v>
      </c>
    </row>
    <row r="14" spans="1:6">
      <c r="A14" s="91"/>
      <c r="B14" s="106"/>
      <c r="C14" s="85"/>
      <c r="D14" s="85"/>
      <c r="E14" s="85"/>
      <c r="F14" s="86" t="str">
        <f>IF(ISBLANK($E14),"----",$E14-$D14)</f>
        <v>----</v>
      </c>
    </row>
    <row r="15" spans="1:6">
      <c r="A15" s="94"/>
      <c r="B15" s="95"/>
      <c r="C15" s="87"/>
      <c r="D15" s="87"/>
      <c r="E15" s="87"/>
      <c r="F15" s="88" t="str">
        <f>IF(ISBLANK($E15),"----",$E15-$D15)</f>
        <v>----</v>
      </c>
    </row>
    <row r="16" spans="1:6">
      <c r="A16" s="91"/>
      <c r="B16" s="106"/>
      <c r="C16" s="85"/>
      <c r="D16" s="85"/>
      <c r="E16" s="85"/>
      <c r="F16" s="86" t="str">
        <f>IF(ISBLANK($E16),"----",$E16-$D16)</f>
        <v>----</v>
      </c>
    </row>
    <row r="17" spans="1:6">
      <c r="A17" s="94"/>
      <c r="B17" s="95"/>
      <c r="C17" s="87"/>
      <c r="D17" s="87"/>
      <c r="E17" s="87"/>
      <c r="F17" s="88" t="str">
        <f>IF(ISBLANK($E17),"----",$E17-$D17)</f>
        <v>----</v>
      </c>
    </row>
    <row r="18" spans="1:6" ht="15.75" thickBot="1">
      <c r="A18" s="75"/>
      <c r="B18" s="76"/>
      <c r="C18" s="77"/>
      <c r="D18" s="77"/>
      <c r="E18" s="77"/>
      <c r="F18" s="78" t="str">
        <f>IF(ISBLANK($E18),"----",$E18-$D18)</f>
        <v>----</v>
      </c>
    </row>
    <row r="19" spans="1:6" ht="15.75" thickBot="1">
      <c r="A19" s="28"/>
      <c r="B19" s="28"/>
      <c r="C19" s="29"/>
      <c r="D19" s="29"/>
      <c r="E19" s="29"/>
      <c r="F19" s="70">
        <f>SUM(F3:F18)</f>
        <v>4687.8099999999395</v>
      </c>
    </row>
  </sheetData>
  <mergeCells count="1">
    <mergeCell ref="A1:F1"/>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F20"/>
  <sheetViews>
    <sheetView workbookViewId="0">
      <selection activeCell="E9" sqref="E3:E9"/>
    </sheetView>
  </sheetViews>
  <sheetFormatPr defaultRowHeight="15"/>
  <cols>
    <col min="2" max="2" width="22.85546875" bestFit="1" customWidth="1"/>
    <col min="3" max="4" width="12" bestFit="1" customWidth="1"/>
    <col min="5" max="5" width="11.140625" customWidth="1"/>
    <col min="6" max="6" width="14" customWidth="1"/>
  </cols>
  <sheetData>
    <row r="1" spans="1:6" ht="15.75" thickBot="1">
      <c r="A1" s="530" t="s">
        <v>138</v>
      </c>
      <c r="B1" s="531"/>
      <c r="C1" s="531"/>
      <c r="D1" s="531"/>
      <c r="E1" s="531"/>
      <c r="F1" s="532"/>
    </row>
    <row r="2" spans="1:6" ht="57.75" thickBot="1">
      <c r="A2" s="25" t="s">
        <v>110</v>
      </c>
      <c r="B2" s="79" t="s">
        <v>111</v>
      </c>
      <c r="C2" s="80" t="s">
        <v>112</v>
      </c>
      <c r="D2" s="80" t="s">
        <v>120</v>
      </c>
      <c r="E2" s="80" t="s">
        <v>121</v>
      </c>
      <c r="F2" s="26" t="s">
        <v>113</v>
      </c>
    </row>
    <row r="3" spans="1:6">
      <c r="A3" s="71">
        <v>43788</v>
      </c>
      <c r="B3" s="72" t="s">
        <v>145</v>
      </c>
      <c r="C3" s="73">
        <v>1022190.43</v>
      </c>
      <c r="D3" s="73">
        <f>C3</f>
        <v>1022190.43</v>
      </c>
      <c r="E3" s="73">
        <v>1026181.21</v>
      </c>
      <c r="F3" s="74">
        <f>IF(ISBLANK($E3),"----",$E3-$D3)</f>
        <v>3990.7799999999115</v>
      </c>
    </row>
    <row r="4" spans="1:6">
      <c r="A4" s="91">
        <v>43852</v>
      </c>
      <c r="B4" s="106" t="s">
        <v>192</v>
      </c>
      <c r="C4" s="85">
        <v>465735</v>
      </c>
      <c r="D4" s="85">
        <v>372588</v>
      </c>
      <c r="E4" s="85"/>
      <c r="F4" s="86" t="str">
        <f>IF(ISBLANK($E4),"----",$E4-$D4)</f>
        <v>----</v>
      </c>
    </row>
    <row r="5" spans="1:6">
      <c r="A5" s="107">
        <v>43852</v>
      </c>
      <c r="B5" s="108" t="s">
        <v>193</v>
      </c>
      <c r="C5" s="90">
        <v>498614</v>
      </c>
      <c r="D5" s="90">
        <v>280134</v>
      </c>
      <c r="E5" s="90"/>
      <c r="F5" s="122" t="str">
        <f>IF(ISBLANK($E5),"----",$E5-$D5)</f>
        <v>----</v>
      </c>
    </row>
    <row r="6" spans="1:6">
      <c r="A6" s="107">
        <v>43852</v>
      </c>
      <c r="B6" s="108" t="s">
        <v>194</v>
      </c>
      <c r="C6" s="90">
        <v>1551788.4</v>
      </c>
      <c r="D6" s="90">
        <v>1251378.3999999999</v>
      </c>
      <c r="E6" s="90"/>
      <c r="F6" s="122" t="str">
        <f>IF(ISBLANK($E6),"----",$E6-$D6)</f>
        <v>----</v>
      </c>
    </row>
    <row r="7" spans="1:6">
      <c r="A7" s="539">
        <v>44153</v>
      </c>
      <c r="B7" s="108" t="s">
        <v>335</v>
      </c>
      <c r="C7" s="90">
        <v>710860.5</v>
      </c>
      <c r="D7" s="90">
        <f>C7</f>
        <v>710860.5</v>
      </c>
      <c r="E7" s="90">
        <v>703673.95</v>
      </c>
      <c r="F7" s="122">
        <f>IF(ISBLANK($E7),"----",$E7-$D7)</f>
        <v>-7186.5500000000466</v>
      </c>
    </row>
    <row r="8" spans="1:6">
      <c r="A8" s="540"/>
      <c r="B8" s="108" t="s">
        <v>336</v>
      </c>
      <c r="C8" s="90">
        <v>1052060.05</v>
      </c>
      <c r="D8" s="90">
        <f>C8</f>
        <v>1052060.05</v>
      </c>
      <c r="E8" s="90">
        <v>1046393.18</v>
      </c>
      <c r="F8" s="122">
        <f t="shared" ref="F8:F17" si="0">IF(ISBLANK($E8),"----",$E8-$D8)</f>
        <v>-5666.8699999999953</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23"/>
      <c r="B17" s="124"/>
      <c r="C17" s="125"/>
      <c r="D17" s="125"/>
      <c r="E17" s="125"/>
      <c r="F17" s="122" t="str">
        <f t="shared" si="0"/>
        <v>----</v>
      </c>
    </row>
    <row r="18" spans="1:6" ht="15.75" thickBot="1">
      <c r="A18" s="75"/>
      <c r="B18" s="76"/>
      <c r="C18" s="77"/>
      <c r="D18" s="77"/>
      <c r="E18" s="77"/>
      <c r="F18" s="78" t="str">
        <f>IF(ISBLANK($E18),"----",$E18-$D18)</f>
        <v>----</v>
      </c>
    </row>
    <row r="19" spans="1:6" ht="15.75" thickBot="1">
      <c r="A19" s="28"/>
      <c r="B19" s="28"/>
      <c r="C19" s="29"/>
      <c r="D19" s="29"/>
      <c r="E19" s="29"/>
      <c r="F19" s="70">
        <f>SUM(F3:F18)</f>
        <v>-8862.6400000001304</v>
      </c>
    </row>
    <row r="20" spans="1:6">
      <c r="A20" s="17"/>
      <c r="B20" s="17"/>
      <c r="C20" s="20"/>
      <c r="D20" s="20"/>
      <c r="E20" s="20"/>
      <c r="F20" s="20"/>
    </row>
  </sheetData>
  <mergeCells count="2">
    <mergeCell ref="A1:F1"/>
    <mergeCell ref="A7:A8"/>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F16"/>
  <sheetViews>
    <sheetView workbookViewId="0">
      <selection activeCell="E4" sqref="E4"/>
    </sheetView>
  </sheetViews>
  <sheetFormatPr defaultRowHeight="15"/>
  <cols>
    <col min="2" max="2" width="22.5703125" bestFit="1" customWidth="1"/>
    <col min="3" max="4" width="10.7109375" bestFit="1" customWidth="1"/>
    <col min="5" max="5" width="10.140625" bestFit="1" customWidth="1"/>
    <col min="6" max="6" width="9.85546875" bestFit="1" customWidth="1"/>
  </cols>
  <sheetData>
    <row r="1" spans="1:6" ht="15.75" thickBot="1">
      <c r="A1" s="530" t="s">
        <v>276</v>
      </c>
      <c r="B1" s="531"/>
      <c r="C1" s="531"/>
      <c r="D1" s="531"/>
      <c r="E1" s="531"/>
      <c r="F1" s="532"/>
    </row>
    <row r="2" spans="1:6" ht="57.75" thickBot="1">
      <c r="A2" s="25" t="s">
        <v>110</v>
      </c>
      <c r="B2" s="79" t="s">
        <v>111</v>
      </c>
      <c r="C2" s="80" t="s">
        <v>112</v>
      </c>
      <c r="D2" s="80" t="s">
        <v>120</v>
      </c>
      <c r="E2" s="80" t="s">
        <v>121</v>
      </c>
      <c r="F2" s="26" t="s">
        <v>113</v>
      </c>
    </row>
    <row r="3" spans="1:6">
      <c r="A3" s="71">
        <v>44153</v>
      </c>
      <c r="B3" s="72" t="s">
        <v>337</v>
      </c>
      <c r="C3" s="73">
        <v>741562.5</v>
      </c>
      <c r="D3" s="73">
        <v>331912.5</v>
      </c>
      <c r="E3" s="73">
        <v>324736.43</v>
      </c>
      <c r="F3" s="74">
        <f>IF(ISBLANK($E3),"----",$E3-$D3)</f>
        <v>-7176.070000000007</v>
      </c>
    </row>
    <row r="4" spans="1:6">
      <c r="A4" s="91">
        <v>44216</v>
      </c>
      <c r="B4" s="106" t="s">
        <v>383</v>
      </c>
      <c r="C4" s="85">
        <v>403119.8</v>
      </c>
      <c r="D4" s="85">
        <f>C4</f>
        <v>403119.8</v>
      </c>
      <c r="E4" s="85">
        <v>401223.28</v>
      </c>
      <c r="F4" s="86">
        <f>IF(ISBLANK($E4),"----",$E4-$D4)</f>
        <v>-1896.5199999999604</v>
      </c>
    </row>
    <row r="5" spans="1:6">
      <c r="A5" s="91"/>
      <c r="B5" s="106"/>
      <c r="C5" s="85"/>
      <c r="D5" s="85"/>
      <c r="E5" s="85"/>
      <c r="F5" s="86" t="str">
        <f t="shared" ref="F5:F13" si="0">IF(ISBLANK($E5),"----",$E5-$D5)</f>
        <v>----</v>
      </c>
    </row>
    <row r="6" spans="1:6">
      <c r="A6" s="91"/>
      <c r="B6" s="106"/>
      <c r="C6" s="85"/>
      <c r="D6" s="85"/>
      <c r="E6" s="85"/>
      <c r="F6" s="86" t="str">
        <f t="shared" si="0"/>
        <v>----</v>
      </c>
    </row>
    <row r="7" spans="1:6">
      <c r="A7" s="91"/>
      <c r="B7" s="106"/>
      <c r="C7" s="85"/>
      <c r="D7" s="85"/>
      <c r="E7" s="85"/>
      <c r="F7" s="86" t="str">
        <f t="shared" si="0"/>
        <v>----</v>
      </c>
    </row>
    <row r="8" spans="1:6">
      <c r="A8" s="91"/>
      <c r="B8" s="106"/>
      <c r="C8" s="85"/>
      <c r="D8" s="85"/>
      <c r="E8" s="85"/>
      <c r="F8" s="86" t="str">
        <f t="shared" si="0"/>
        <v>----</v>
      </c>
    </row>
    <row r="9" spans="1:6">
      <c r="A9" s="91"/>
      <c r="B9" s="106"/>
      <c r="C9" s="85"/>
      <c r="D9" s="85"/>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4"/>
      <c r="B14" s="95"/>
      <c r="C14" s="87"/>
      <c r="D14" s="87"/>
      <c r="E14" s="87"/>
      <c r="F14" s="88" t="str">
        <f>IF(ISBLANK($E14),"----",$E14-$D14)</f>
        <v>----</v>
      </c>
    </row>
    <row r="15" spans="1:6" ht="15.75" thickBot="1">
      <c r="A15" s="75"/>
      <c r="B15" s="76"/>
      <c r="C15" s="77"/>
      <c r="D15" s="77"/>
      <c r="E15" s="77"/>
      <c r="F15" s="78" t="str">
        <f>IF(ISBLANK($E15),"----",$E15-$D15)</f>
        <v>----</v>
      </c>
    </row>
    <row r="16" spans="1:6" ht="15.75" thickBot="1">
      <c r="A16" s="28"/>
      <c r="B16" s="28"/>
      <c r="C16" s="29"/>
      <c r="D16" s="29"/>
      <c r="E16" s="29"/>
      <c r="F16" s="70">
        <f>SUM(F3:F15)</f>
        <v>-9072.5899999999674</v>
      </c>
    </row>
  </sheetData>
  <mergeCells count="1">
    <mergeCell ref="A1:F1"/>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G20"/>
  <sheetViews>
    <sheetView workbookViewId="0">
      <selection activeCell="E5" sqref="E5"/>
    </sheetView>
  </sheetViews>
  <sheetFormatPr defaultRowHeight="15"/>
  <cols>
    <col min="2" max="2" width="22.140625" bestFit="1" customWidth="1"/>
    <col min="3" max="4" width="12" bestFit="1" customWidth="1"/>
    <col min="5" max="5" width="11.42578125" bestFit="1" customWidth="1"/>
    <col min="6" max="6" width="12.42578125" customWidth="1"/>
  </cols>
  <sheetData>
    <row r="1" spans="1:7" ht="15.75" thickBot="1">
      <c r="A1" s="530" t="s">
        <v>277</v>
      </c>
      <c r="B1" s="531"/>
      <c r="C1" s="531"/>
      <c r="D1" s="531"/>
      <c r="E1" s="531"/>
      <c r="F1" s="532"/>
    </row>
    <row r="2" spans="1:7" ht="57.75" thickBot="1">
      <c r="A2" s="25" t="s">
        <v>110</v>
      </c>
      <c r="B2" s="79" t="s">
        <v>111</v>
      </c>
      <c r="C2" s="80" t="s">
        <v>112</v>
      </c>
      <c r="D2" s="80" t="s">
        <v>120</v>
      </c>
      <c r="E2" s="80" t="s">
        <v>121</v>
      </c>
      <c r="F2" s="26" t="s">
        <v>113</v>
      </c>
    </row>
    <row r="3" spans="1:7">
      <c r="A3" s="541">
        <v>44271</v>
      </c>
      <c r="B3" s="224" t="s">
        <v>410</v>
      </c>
      <c r="C3" s="225">
        <v>278358.5</v>
      </c>
      <c r="D3" s="225">
        <v>100843.5</v>
      </c>
      <c r="E3" s="225"/>
      <c r="F3" s="226" t="str">
        <f>IF(ISBLANK($E3),"----",$E3-$D3)</f>
        <v>----</v>
      </c>
    </row>
    <row r="4" spans="1:7">
      <c r="A4" s="542"/>
      <c r="B4" s="128" t="s">
        <v>411</v>
      </c>
      <c r="C4" s="227">
        <v>859172.6</v>
      </c>
      <c r="D4" s="227">
        <v>531452.6</v>
      </c>
      <c r="E4" s="227"/>
      <c r="F4" s="228" t="str">
        <f>IF(ISBLANK($E4),"----",$E4-$D4)</f>
        <v>----</v>
      </c>
    </row>
    <row r="5" spans="1:7">
      <c r="A5" s="127">
        <v>44488</v>
      </c>
      <c r="B5" s="128" t="s">
        <v>464</v>
      </c>
      <c r="C5" s="129">
        <v>1057045.6599999999</v>
      </c>
      <c r="D5" s="129">
        <f>C5</f>
        <v>1057045.6599999999</v>
      </c>
      <c r="E5" s="129">
        <v>1096008.19</v>
      </c>
      <c r="F5" s="209">
        <f t="shared" ref="F5:F17" si="0">IF(ISBLANK($E5),"----",$E5-$D5)</f>
        <v>38962.530000000028</v>
      </c>
    </row>
    <row r="6" spans="1:7">
      <c r="A6" s="127">
        <v>45097</v>
      </c>
      <c r="B6" s="128" t="s">
        <v>673</v>
      </c>
      <c r="C6" s="129">
        <v>511651.1</v>
      </c>
      <c r="D6" s="129">
        <f>C6</f>
        <v>511651.1</v>
      </c>
      <c r="E6" s="129"/>
      <c r="F6" s="209" t="str">
        <f t="shared" si="0"/>
        <v>----</v>
      </c>
    </row>
    <row r="7" spans="1:7">
      <c r="A7" s="127">
        <v>45216</v>
      </c>
      <c r="B7" s="128" t="s">
        <v>689</v>
      </c>
      <c r="C7" s="427">
        <v>2189595.19</v>
      </c>
      <c r="D7" s="129">
        <v>0</v>
      </c>
      <c r="E7" s="129"/>
      <c r="F7" s="209" t="str">
        <f t="shared" si="0"/>
        <v>----</v>
      </c>
      <c r="G7" t="s">
        <v>690</v>
      </c>
    </row>
    <row r="8" spans="1:7">
      <c r="A8" s="127"/>
      <c r="B8" s="128"/>
      <c r="C8" s="129"/>
      <c r="D8" s="129"/>
      <c r="E8" s="129"/>
      <c r="F8" s="209" t="str">
        <f t="shared" si="0"/>
        <v>----</v>
      </c>
    </row>
    <row r="9" spans="1:7">
      <c r="A9" s="127"/>
      <c r="B9" s="128"/>
      <c r="C9" s="129"/>
      <c r="D9" s="129"/>
      <c r="E9" s="129"/>
      <c r="F9" s="209" t="str">
        <f t="shared" si="0"/>
        <v>----</v>
      </c>
    </row>
    <row r="10" spans="1:7">
      <c r="A10" s="127"/>
      <c r="B10" s="128"/>
      <c r="C10" s="129"/>
      <c r="D10" s="129"/>
      <c r="E10" s="129"/>
      <c r="F10" s="209" t="str">
        <f t="shared" si="0"/>
        <v>----</v>
      </c>
    </row>
    <row r="11" spans="1:7">
      <c r="A11" s="127"/>
      <c r="B11" s="128"/>
      <c r="C11" s="129"/>
      <c r="D11" s="129"/>
      <c r="E11" s="129"/>
      <c r="F11" s="209" t="str">
        <f t="shared" si="0"/>
        <v>----</v>
      </c>
    </row>
    <row r="12" spans="1:7">
      <c r="A12" s="127"/>
      <c r="B12" s="128"/>
      <c r="C12" s="129"/>
      <c r="D12" s="129"/>
      <c r="E12" s="129"/>
      <c r="F12" s="209" t="str">
        <f t="shared" si="0"/>
        <v>----</v>
      </c>
    </row>
    <row r="13" spans="1:7">
      <c r="A13" s="127"/>
      <c r="B13" s="128"/>
      <c r="C13" s="129"/>
      <c r="D13" s="129"/>
      <c r="E13" s="129"/>
      <c r="F13" s="209" t="str">
        <f t="shared" si="0"/>
        <v>----</v>
      </c>
    </row>
    <row r="14" spans="1:7">
      <c r="A14" s="127"/>
      <c r="B14" s="128"/>
      <c r="C14" s="129"/>
      <c r="D14" s="129"/>
      <c r="E14" s="129"/>
      <c r="F14" s="209" t="str">
        <f t="shared" si="0"/>
        <v>----</v>
      </c>
    </row>
    <row r="15" spans="1:7">
      <c r="A15" s="127"/>
      <c r="B15" s="128"/>
      <c r="C15" s="129"/>
      <c r="D15" s="129"/>
      <c r="E15" s="129"/>
      <c r="F15" s="209" t="str">
        <f t="shared" si="0"/>
        <v>----</v>
      </c>
    </row>
    <row r="16" spans="1:7">
      <c r="A16" s="127"/>
      <c r="B16" s="128"/>
      <c r="C16" s="129"/>
      <c r="D16" s="129"/>
      <c r="E16" s="129"/>
      <c r="F16" s="209" t="str">
        <f t="shared" si="0"/>
        <v>----</v>
      </c>
    </row>
    <row r="17" spans="1:6">
      <c r="A17" s="127"/>
      <c r="B17" s="128"/>
      <c r="C17" s="129"/>
      <c r="D17" s="129"/>
      <c r="E17" s="129"/>
      <c r="F17" s="209" t="str">
        <f t="shared" si="0"/>
        <v>----</v>
      </c>
    </row>
    <row r="18" spans="1:6">
      <c r="A18" s="127"/>
      <c r="B18" s="128"/>
      <c r="C18" s="129"/>
      <c r="D18" s="129"/>
      <c r="E18" s="129"/>
      <c r="F18" s="209" t="str">
        <f>IF(ISBLANK($E18),"----",$E18-$D18)</f>
        <v>----</v>
      </c>
    </row>
    <row r="19" spans="1:6" ht="15.75" thickBot="1">
      <c r="A19" s="210"/>
      <c r="B19" s="211"/>
      <c r="C19" s="212"/>
      <c r="D19" s="212"/>
      <c r="E19" s="212"/>
      <c r="F19" s="213" t="str">
        <f>IF(ISBLANK($E19),"----",$E19-$D19)</f>
        <v>----</v>
      </c>
    </row>
    <row r="20" spans="1:6" ht="15.75" thickBot="1">
      <c r="A20" s="28"/>
      <c r="B20" s="28"/>
      <c r="C20" s="29"/>
      <c r="D20" s="29"/>
      <c r="E20" s="29"/>
      <c r="F20" s="70">
        <f>SUM(F3:F19)</f>
        <v>38962.530000000028</v>
      </c>
    </row>
  </sheetData>
  <mergeCells count="2">
    <mergeCell ref="A1:F1"/>
    <mergeCell ref="A3:A4"/>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G24"/>
  <sheetViews>
    <sheetView workbookViewId="0">
      <selection activeCell="E6" sqref="E5:E6"/>
    </sheetView>
  </sheetViews>
  <sheetFormatPr defaultRowHeight="15"/>
  <cols>
    <col min="2" max="2" width="22.85546875" bestFit="1" customWidth="1"/>
    <col min="3" max="3" width="10.7109375" bestFit="1" customWidth="1"/>
    <col min="4" max="4" width="11.42578125" customWidth="1"/>
    <col min="5" max="5" width="10.140625" bestFit="1" customWidth="1"/>
    <col min="6" max="6" width="11.85546875" customWidth="1"/>
  </cols>
  <sheetData>
    <row r="1" spans="1:7" ht="15.75" thickBot="1">
      <c r="A1" s="530" t="s">
        <v>139</v>
      </c>
      <c r="B1" s="531"/>
      <c r="C1" s="531"/>
      <c r="D1" s="531"/>
      <c r="E1" s="531"/>
      <c r="F1" s="532"/>
    </row>
    <row r="2" spans="1:7" ht="57.75" thickBot="1">
      <c r="A2" s="25" t="s">
        <v>110</v>
      </c>
      <c r="B2" s="79" t="s">
        <v>111</v>
      </c>
      <c r="C2" s="80" t="s">
        <v>112</v>
      </c>
      <c r="D2" s="80" t="s">
        <v>120</v>
      </c>
      <c r="E2" s="80" t="s">
        <v>121</v>
      </c>
      <c r="F2" s="26" t="s">
        <v>113</v>
      </c>
    </row>
    <row r="3" spans="1:7">
      <c r="A3" s="71">
        <v>43788</v>
      </c>
      <c r="B3" s="72" t="s">
        <v>144</v>
      </c>
      <c r="C3" s="73">
        <v>266037.7</v>
      </c>
      <c r="D3" s="73">
        <f>C3</f>
        <v>266037.7</v>
      </c>
      <c r="E3" s="73"/>
      <c r="F3" s="74" t="str">
        <f>IF(ISBLANK($E3),"----",$E3-$D3)</f>
        <v>----</v>
      </c>
    </row>
    <row r="4" spans="1:7" s="30" customFormat="1">
      <c r="A4" s="204">
        <v>44306</v>
      </c>
      <c r="B4" s="205" t="s">
        <v>428</v>
      </c>
      <c r="C4" s="206">
        <v>737619</v>
      </c>
      <c r="D4" s="206">
        <f>C4</f>
        <v>737619</v>
      </c>
      <c r="E4" s="206"/>
      <c r="F4" s="304" t="str">
        <f t="shared" ref="F4:F20" si="0">IF(ISBLANK($E4),"----",$E4-$D4)</f>
        <v>----</v>
      </c>
      <c r="G4" s="30" t="s">
        <v>418</v>
      </c>
    </row>
    <row r="5" spans="1:7">
      <c r="A5" s="107">
        <v>44425</v>
      </c>
      <c r="B5" s="108" t="s">
        <v>428</v>
      </c>
      <c r="C5" s="90">
        <v>539637.54</v>
      </c>
      <c r="D5" s="90">
        <f>C5</f>
        <v>539637.54</v>
      </c>
      <c r="E5" s="90">
        <v>559968.05000000005</v>
      </c>
      <c r="F5" s="122">
        <f t="shared" si="0"/>
        <v>20330.510000000009</v>
      </c>
    </row>
    <row r="6" spans="1:7">
      <c r="A6" s="107">
        <v>44516</v>
      </c>
      <c r="B6" s="108" t="s">
        <v>469</v>
      </c>
      <c r="C6" s="90">
        <v>538884.36</v>
      </c>
      <c r="D6" s="90">
        <f>C6</f>
        <v>538884.36</v>
      </c>
      <c r="E6" s="90">
        <v>540323.93000000005</v>
      </c>
      <c r="F6" s="122">
        <f t="shared" si="0"/>
        <v>1439.5700000000652</v>
      </c>
    </row>
    <row r="7" spans="1:7">
      <c r="A7" s="107"/>
      <c r="B7" s="108"/>
      <c r="C7" s="90"/>
      <c r="D7" s="90"/>
      <c r="E7" s="90"/>
      <c r="F7" s="122" t="str">
        <f t="shared" si="0"/>
        <v>----</v>
      </c>
    </row>
    <row r="8" spans="1:7">
      <c r="A8" s="107"/>
      <c r="B8" s="108"/>
      <c r="C8" s="90"/>
      <c r="D8" s="90"/>
      <c r="E8" s="90"/>
      <c r="F8" s="122" t="str">
        <f t="shared" si="0"/>
        <v>----</v>
      </c>
    </row>
    <row r="9" spans="1:7">
      <c r="A9" s="107"/>
      <c r="B9" s="108"/>
      <c r="C9" s="90"/>
      <c r="D9" s="90"/>
      <c r="E9" s="90"/>
      <c r="F9" s="122" t="str">
        <f t="shared" si="0"/>
        <v>----</v>
      </c>
    </row>
    <row r="10" spans="1:7">
      <c r="A10" s="107"/>
      <c r="B10" s="108"/>
      <c r="C10" s="90"/>
      <c r="D10" s="90"/>
      <c r="E10" s="90"/>
      <c r="F10" s="122" t="str">
        <f t="shared" si="0"/>
        <v>----</v>
      </c>
    </row>
    <row r="11" spans="1:7">
      <c r="A11" s="107"/>
      <c r="B11" s="108"/>
      <c r="C11" s="90"/>
      <c r="D11" s="90"/>
      <c r="E11" s="90"/>
      <c r="F11" s="122" t="str">
        <f t="shared" si="0"/>
        <v>----</v>
      </c>
    </row>
    <row r="12" spans="1:7">
      <c r="A12" s="107"/>
      <c r="B12" s="108"/>
      <c r="C12" s="90"/>
      <c r="D12" s="90"/>
      <c r="E12" s="90"/>
      <c r="F12" s="122" t="str">
        <f t="shared" si="0"/>
        <v>----</v>
      </c>
    </row>
    <row r="13" spans="1:7">
      <c r="A13" s="107"/>
      <c r="B13" s="108"/>
      <c r="C13" s="90"/>
      <c r="D13" s="90"/>
      <c r="E13" s="90"/>
      <c r="F13" s="122" t="str">
        <f t="shared" si="0"/>
        <v>----</v>
      </c>
    </row>
    <row r="14" spans="1:7">
      <c r="A14" s="107"/>
      <c r="B14" s="108"/>
      <c r="C14" s="90"/>
      <c r="D14" s="90"/>
      <c r="E14" s="90"/>
      <c r="F14" s="122" t="str">
        <f t="shared" si="0"/>
        <v>----</v>
      </c>
    </row>
    <row r="15" spans="1:7">
      <c r="A15" s="107"/>
      <c r="B15" s="108"/>
      <c r="C15" s="90"/>
      <c r="D15" s="90"/>
      <c r="E15" s="90"/>
      <c r="F15" s="122" t="str">
        <f t="shared" si="0"/>
        <v>----</v>
      </c>
    </row>
    <row r="16" spans="1:7">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23"/>
      <c r="B21" s="124"/>
      <c r="C21" s="125"/>
      <c r="D21" s="125"/>
      <c r="E21" s="125"/>
      <c r="F21" s="126" t="str">
        <f>IF(ISBLANK($E21),"----",$E21-$D21)</f>
        <v>----</v>
      </c>
    </row>
    <row r="22" spans="1:6" ht="15.75" thickBot="1">
      <c r="A22" s="75"/>
      <c r="B22" s="76"/>
      <c r="C22" s="77"/>
      <c r="D22" s="77"/>
      <c r="E22" s="77"/>
      <c r="F22" s="78" t="str">
        <f>IF(ISBLANK($E22),"----",$E22-$D22)</f>
        <v>----</v>
      </c>
    </row>
    <row r="23" spans="1:6" ht="15.75" thickBot="1">
      <c r="A23" s="28"/>
      <c r="B23" s="28"/>
      <c r="C23" s="29"/>
      <c r="D23" s="29"/>
      <c r="E23" s="29"/>
      <c r="F23" s="70">
        <f>SUM(F3:F22)</f>
        <v>21770.080000000075</v>
      </c>
    </row>
    <row r="24" spans="1:6">
      <c r="A24" s="17"/>
      <c r="B24" s="17"/>
      <c r="C24" s="20"/>
      <c r="D24" s="20"/>
      <c r="E24" s="20"/>
      <c r="F24" s="20"/>
    </row>
  </sheetData>
  <mergeCells count="1">
    <mergeCell ref="A1:F1"/>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F7"/>
  <sheetViews>
    <sheetView workbookViewId="0">
      <selection activeCell="D4" sqref="D4"/>
    </sheetView>
  </sheetViews>
  <sheetFormatPr defaultRowHeight="15"/>
  <cols>
    <col min="2" max="2" width="21.42578125" bestFit="1" customWidth="1"/>
    <col min="3" max="4" width="9.85546875" bestFit="1" customWidth="1"/>
    <col min="6" max="6" width="11.28515625" customWidth="1"/>
  </cols>
  <sheetData>
    <row r="1" spans="1:6" ht="15.75" thickBot="1">
      <c r="A1" s="530" t="s">
        <v>278</v>
      </c>
      <c r="B1" s="531"/>
      <c r="C1" s="531"/>
      <c r="D1" s="531"/>
      <c r="E1" s="531"/>
      <c r="F1" s="532"/>
    </row>
    <row r="2" spans="1:6" ht="57.75" thickBot="1">
      <c r="A2" s="25" t="s">
        <v>110</v>
      </c>
      <c r="B2" s="79" t="s">
        <v>111</v>
      </c>
      <c r="C2" s="80" t="s">
        <v>112</v>
      </c>
      <c r="D2" s="80" t="s">
        <v>120</v>
      </c>
      <c r="E2" s="80" t="s">
        <v>121</v>
      </c>
      <c r="F2" s="26" t="s">
        <v>113</v>
      </c>
    </row>
    <row r="3" spans="1:6">
      <c r="A3" s="71">
        <v>44516</v>
      </c>
      <c r="B3" s="72" t="s">
        <v>470</v>
      </c>
      <c r="C3" s="73">
        <v>728224.64</v>
      </c>
      <c r="D3" s="73">
        <f>C3</f>
        <v>728224.64</v>
      </c>
      <c r="E3" s="73"/>
      <c r="F3" s="74" t="str">
        <f>IF(ISBLANK($E3),"----",$E3-$D3)</f>
        <v>----</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F21"/>
  <sheetViews>
    <sheetView workbookViewId="0">
      <selection activeCell="D5" sqref="D5"/>
    </sheetView>
  </sheetViews>
  <sheetFormatPr defaultRowHeight="15"/>
  <cols>
    <col min="2" max="2" width="22.28515625" bestFit="1" customWidth="1"/>
    <col min="3" max="4" width="11.42578125" bestFit="1" customWidth="1"/>
  </cols>
  <sheetData>
    <row r="1" spans="1:6" ht="15.75" thickBot="1">
      <c r="A1" s="530" t="s">
        <v>279</v>
      </c>
      <c r="B1" s="531"/>
      <c r="C1" s="531"/>
      <c r="D1" s="531"/>
      <c r="E1" s="531"/>
      <c r="F1" s="532"/>
    </row>
    <row r="2" spans="1:6" ht="69" thickBot="1">
      <c r="A2" s="25" t="s">
        <v>110</v>
      </c>
      <c r="B2" s="79" t="s">
        <v>111</v>
      </c>
      <c r="C2" s="80" t="s">
        <v>112</v>
      </c>
      <c r="D2" s="80" t="s">
        <v>120</v>
      </c>
      <c r="E2" s="80" t="s">
        <v>121</v>
      </c>
      <c r="F2" s="26" t="s">
        <v>113</v>
      </c>
    </row>
    <row r="3" spans="1:6">
      <c r="A3" s="71">
        <v>44243</v>
      </c>
      <c r="B3" s="72" t="s">
        <v>403</v>
      </c>
      <c r="C3" s="73">
        <v>472128</v>
      </c>
      <c r="D3" s="73">
        <v>280958</v>
      </c>
      <c r="E3" s="73"/>
      <c r="F3" s="74" t="str">
        <f t="shared" ref="F3:F20" si="0">IF(ISBLANK($E3),"----",$E3-$D3)</f>
        <v>----</v>
      </c>
    </row>
    <row r="4" spans="1:6">
      <c r="A4" s="91">
        <v>45188</v>
      </c>
      <c r="B4" s="106" t="s">
        <v>680</v>
      </c>
      <c r="C4" s="430">
        <v>1201924.93</v>
      </c>
      <c r="D4" s="430">
        <f>C4</f>
        <v>1201924.93</v>
      </c>
      <c r="E4" s="85"/>
      <c r="F4" s="86" t="str">
        <f t="shared" si="0"/>
        <v>----</v>
      </c>
    </row>
    <row r="5" spans="1:6">
      <c r="A5" s="94"/>
      <c r="B5" s="95"/>
      <c r="C5" s="87"/>
      <c r="D5" s="87"/>
      <c r="E5" s="87"/>
      <c r="F5" s="88" t="str">
        <f t="shared" si="0"/>
        <v>----</v>
      </c>
    </row>
    <row r="6" spans="1:6">
      <c r="A6" s="91"/>
      <c r="B6" s="106"/>
      <c r="C6" s="85"/>
      <c r="D6" s="85"/>
      <c r="E6" s="85"/>
      <c r="F6" s="86" t="str">
        <f t="shared" si="0"/>
        <v>----</v>
      </c>
    </row>
    <row r="7" spans="1:6">
      <c r="A7" s="94"/>
      <c r="B7" s="95"/>
      <c r="C7" s="87"/>
      <c r="D7" s="87"/>
      <c r="E7" s="87"/>
      <c r="F7" s="88" t="str">
        <f t="shared" si="0"/>
        <v>----</v>
      </c>
    </row>
    <row r="8" spans="1:6">
      <c r="A8" s="91"/>
      <c r="B8" s="106"/>
      <c r="C8" s="85"/>
      <c r="D8" s="85"/>
      <c r="E8" s="85"/>
      <c r="F8" s="86" t="str">
        <f t="shared" si="0"/>
        <v>----</v>
      </c>
    </row>
    <row r="9" spans="1:6">
      <c r="A9" s="94"/>
      <c r="B9" s="95"/>
      <c r="C9" s="87"/>
      <c r="D9" s="87"/>
      <c r="E9" s="87"/>
      <c r="F9" s="88" t="str">
        <f t="shared" si="0"/>
        <v>----</v>
      </c>
    </row>
    <row r="10" spans="1:6">
      <c r="A10" s="91"/>
      <c r="B10" s="106"/>
      <c r="C10" s="85"/>
      <c r="D10" s="85"/>
      <c r="E10" s="85"/>
      <c r="F10" s="86" t="str">
        <f t="shared" si="0"/>
        <v>----</v>
      </c>
    </row>
    <row r="11" spans="1:6">
      <c r="A11" s="94"/>
      <c r="B11" s="95"/>
      <c r="C11" s="87"/>
      <c r="D11" s="87"/>
      <c r="E11" s="87"/>
      <c r="F11" s="88" t="str">
        <f t="shared" si="0"/>
        <v>----</v>
      </c>
    </row>
    <row r="12" spans="1:6">
      <c r="A12" s="91"/>
      <c r="B12" s="106"/>
      <c r="C12" s="85"/>
      <c r="D12" s="85"/>
      <c r="E12" s="85"/>
      <c r="F12" s="86" t="str">
        <f t="shared" si="0"/>
        <v>----</v>
      </c>
    </row>
    <row r="13" spans="1:6">
      <c r="A13" s="94"/>
      <c r="B13" s="95"/>
      <c r="C13" s="87"/>
      <c r="D13" s="87"/>
      <c r="E13" s="87"/>
      <c r="F13" s="88" t="str">
        <f t="shared" si="0"/>
        <v>----</v>
      </c>
    </row>
    <row r="14" spans="1:6">
      <c r="A14" s="91"/>
      <c r="B14" s="106"/>
      <c r="C14" s="85"/>
      <c r="D14" s="85"/>
      <c r="E14" s="85"/>
      <c r="F14" s="86" t="str">
        <f t="shared" si="0"/>
        <v>----</v>
      </c>
    </row>
    <row r="15" spans="1:6">
      <c r="A15" s="94"/>
      <c r="B15" s="95"/>
      <c r="C15" s="87"/>
      <c r="D15" s="87"/>
      <c r="E15" s="87"/>
      <c r="F15" s="88" t="str">
        <f t="shared" si="0"/>
        <v>----</v>
      </c>
    </row>
    <row r="16" spans="1:6">
      <c r="A16" s="91"/>
      <c r="B16" s="106"/>
      <c r="C16" s="85"/>
      <c r="D16" s="85"/>
      <c r="E16" s="85"/>
      <c r="F16" s="86" t="str">
        <f t="shared" si="0"/>
        <v>----</v>
      </c>
    </row>
    <row r="17" spans="1:6">
      <c r="A17" s="94"/>
      <c r="B17" s="95"/>
      <c r="C17" s="87"/>
      <c r="D17" s="87"/>
      <c r="E17" s="87"/>
      <c r="F17" s="88" t="str">
        <f t="shared" si="0"/>
        <v>----</v>
      </c>
    </row>
    <row r="18" spans="1:6">
      <c r="A18" s="91"/>
      <c r="B18" s="106"/>
      <c r="C18" s="85"/>
      <c r="D18" s="85"/>
      <c r="E18" s="85"/>
      <c r="F18" s="86" t="str">
        <f t="shared" si="0"/>
        <v>----</v>
      </c>
    </row>
    <row r="19" spans="1:6">
      <c r="A19" s="94"/>
      <c r="B19" s="95"/>
      <c r="C19" s="87"/>
      <c r="D19" s="87"/>
      <c r="E19" s="87"/>
      <c r="F19" s="88" t="str">
        <f t="shared" si="0"/>
        <v>----</v>
      </c>
    </row>
    <row r="20" spans="1:6" ht="15.75" thickBot="1">
      <c r="A20" s="75"/>
      <c r="B20" s="76"/>
      <c r="C20" s="77"/>
      <c r="D20" s="77"/>
      <c r="E20" s="77"/>
      <c r="F20" s="78" t="str">
        <f t="shared" si="0"/>
        <v>----</v>
      </c>
    </row>
    <row r="21" spans="1:6" ht="15.75" thickBot="1">
      <c r="A21" s="28"/>
      <c r="B21" s="28"/>
      <c r="C21" s="29"/>
      <c r="D21" s="29"/>
      <c r="E21" s="29"/>
      <c r="F21" s="70">
        <f>SUM(F3:F20)</f>
        <v>0</v>
      </c>
    </row>
  </sheetData>
  <mergeCells count="1">
    <mergeCell ref="A1:F1"/>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G30"/>
  <sheetViews>
    <sheetView workbookViewId="0">
      <selection activeCell="E4" sqref="E3:E4"/>
    </sheetView>
  </sheetViews>
  <sheetFormatPr defaultRowHeight="15"/>
  <cols>
    <col min="2" max="2" width="23.7109375" customWidth="1"/>
    <col min="3" max="3" width="12" bestFit="1" customWidth="1"/>
    <col min="4" max="4" width="12.28515625" customWidth="1"/>
    <col min="5" max="5" width="11.140625" customWidth="1"/>
    <col min="6" max="6" width="11.7109375" customWidth="1"/>
  </cols>
  <sheetData>
    <row r="1" spans="1:7" ht="15.75" thickBot="1">
      <c r="A1" s="530" t="s">
        <v>133</v>
      </c>
      <c r="B1" s="531"/>
      <c r="C1" s="531"/>
      <c r="D1" s="531"/>
      <c r="E1" s="531"/>
      <c r="F1" s="532"/>
    </row>
    <row r="2" spans="1:7" ht="57.75" thickBot="1">
      <c r="A2" s="25" t="s">
        <v>110</v>
      </c>
      <c r="B2" s="79" t="s">
        <v>111</v>
      </c>
      <c r="C2" s="80" t="s">
        <v>112</v>
      </c>
      <c r="D2" s="80" t="s">
        <v>120</v>
      </c>
      <c r="E2" s="80" t="s">
        <v>121</v>
      </c>
      <c r="F2" s="26" t="s">
        <v>113</v>
      </c>
    </row>
    <row r="3" spans="1:7">
      <c r="A3" s="71">
        <v>43753</v>
      </c>
      <c r="B3" s="72" t="s">
        <v>240</v>
      </c>
      <c r="C3" s="73">
        <v>1729227</v>
      </c>
      <c r="D3" s="73">
        <f>C3</f>
        <v>1729227</v>
      </c>
      <c r="E3" s="73">
        <v>1782029.72</v>
      </c>
      <c r="F3" s="74">
        <f>IF(ISBLANK($E3),"----",$E3-$D3)</f>
        <v>52802.719999999972</v>
      </c>
    </row>
    <row r="4" spans="1:7">
      <c r="A4" s="91">
        <v>43942</v>
      </c>
      <c r="B4" s="106" t="s">
        <v>241</v>
      </c>
      <c r="C4" s="85">
        <v>374256.25</v>
      </c>
      <c r="D4" s="85">
        <f>C4</f>
        <v>374256.25</v>
      </c>
      <c r="E4" s="85">
        <v>368238.8</v>
      </c>
      <c r="F4" s="86">
        <f>IF(ISBLANK($E4),"----",$E4-$D4)</f>
        <v>-6017.4500000000116</v>
      </c>
    </row>
    <row r="5" spans="1:7">
      <c r="A5" s="107">
        <v>44124</v>
      </c>
      <c r="B5" s="108" t="s">
        <v>317</v>
      </c>
      <c r="C5" s="90">
        <v>728997.45</v>
      </c>
      <c r="D5" s="90">
        <v>373967.45</v>
      </c>
      <c r="E5" s="90"/>
      <c r="F5" s="86" t="str">
        <f t="shared" ref="F5:F28" si="0">IF(ISBLANK($E5),"----",$E5-$D5)</f>
        <v>----</v>
      </c>
    </row>
    <row r="6" spans="1:7">
      <c r="A6" s="140">
        <v>44761</v>
      </c>
      <c r="B6" s="239" t="s">
        <v>552</v>
      </c>
      <c r="C6" s="240">
        <v>1455608.9</v>
      </c>
      <c r="D6" s="85">
        <f>C6</f>
        <v>1455608.9</v>
      </c>
      <c r="E6" s="240"/>
      <c r="F6" s="86" t="str">
        <f t="shared" si="0"/>
        <v>----</v>
      </c>
    </row>
    <row r="7" spans="1:7">
      <c r="A7" s="140">
        <v>44852</v>
      </c>
      <c r="B7" s="239" t="s">
        <v>583</v>
      </c>
      <c r="C7" s="240">
        <v>2857469.91</v>
      </c>
      <c r="D7" s="240">
        <v>1857469.9100000001</v>
      </c>
      <c r="E7" s="240"/>
      <c r="F7" s="86" t="str">
        <f t="shared" si="0"/>
        <v>----</v>
      </c>
      <c r="G7" t="s">
        <v>579</v>
      </c>
    </row>
    <row r="8" spans="1:7">
      <c r="A8" s="140">
        <v>45216</v>
      </c>
      <c r="B8" s="239" t="s">
        <v>688</v>
      </c>
      <c r="C8" s="432">
        <v>1704845.85</v>
      </c>
      <c r="D8" s="432">
        <f>C8</f>
        <v>1704845.85</v>
      </c>
      <c r="E8" s="240"/>
      <c r="F8" s="86" t="str">
        <f t="shared" si="0"/>
        <v>----</v>
      </c>
    </row>
    <row r="9" spans="1:7">
      <c r="A9" s="140"/>
      <c r="B9" s="239"/>
      <c r="C9" s="240"/>
      <c r="D9" s="240"/>
      <c r="E9" s="240"/>
      <c r="F9" s="86" t="str">
        <f t="shared" si="0"/>
        <v>----</v>
      </c>
    </row>
    <row r="10" spans="1:7">
      <c r="A10" s="140"/>
      <c r="B10" s="239"/>
      <c r="C10" s="240"/>
      <c r="D10" s="240"/>
      <c r="E10" s="240"/>
      <c r="F10" s="86" t="str">
        <f t="shared" si="0"/>
        <v>----</v>
      </c>
    </row>
    <row r="11" spans="1:7">
      <c r="A11" s="140"/>
      <c r="B11" s="239"/>
      <c r="C11" s="240"/>
      <c r="D11" s="240"/>
      <c r="E11" s="240"/>
      <c r="F11" s="86" t="str">
        <f t="shared" si="0"/>
        <v>----</v>
      </c>
    </row>
    <row r="12" spans="1:7">
      <c r="A12" s="140"/>
      <c r="B12" s="239"/>
      <c r="C12" s="240"/>
      <c r="D12" s="240"/>
      <c r="E12" s="240"/>
      <c r="F12" s="86" t="str">
        <f t="shared" si="0"/>
        <v>----</v>
      </c>
    </row>
    <row r="13" spans="1:7">
      <c r="A13" s="140"/>
      <c r="B13" s="239"/>
      <c r="C13" s="240"/>
      <c r="D13" s="240"/>
      <c r="E13" s="240"/>
      <c r="F13" s="86" t="str">
        <f t="shared" si="0"/>
        <v>----</v>
      </c>
    </row>
    <row r="14" spans="1:7">
      <c r="A14" s="140"/>
      <c r="B14" s="239"/>
      <c r="C14" s="240"/>
      <c r="D14" s="240"/>
      <c r="E14" s="240"/>
      <c r="F14" s="86" t="str">
        <f t="shared" si="0"/>
        <v>----</v>
      </c>
    </row>
    <row r="15" spans="1:7">
      <c r="A15" s="140"/>
      <c r="B15" s="239"/>
      <c r="C15" s="240"/>
      <c r="D15" s="240"/>
      <c r="E15" s="240"/>
      <c r="F15" s="86" t="str">
        <f t="shared" si="0"/>
        <v>----</v>
      </c>
    </row>
    <row r="16" spans="1:7">
      <c r="A16" s="140"/>
      <c r="B16" s="239"/>
      <c r="C16" s="240"/>
      <c r="D16" s="240"/>
      <c r="E16" s="240"/>
      <c r="F16" s="86" t="str">
        <f t="shared" si="0"/>
        <v>----</v>
      </c>
    </row>
    <row r="17" spans="1:6">
      <c r="A17" s="140"/>
      <c r="B17" s="239"/>
      <c r="C17" s="240"/>
      <c r="D17" s="240"/>
      <c r="E17" s="240"/>
      <c r="F17" s="86" t="str">
        <f t="shared" si="0"/>
        <v>----</v>
      </c>
    </row>
    <row r="18" spans="1:6">
      <c r="A18" s="140"/>
      <c r="B18" s="239"/>
      <c r="C18" s="240"/>
      <c r="D18" s="240"/>
      <c r="E18" s="240"/>
      <c r="F18" s="86" t="str">
        <f t="shared" si="0"/>
        <v>----</v>
      </c>
    </row>
    <row r="19" spans="1:6">
      <c r="A19" s="140"/>
      <c r="B19" s="239"/>
      <c r="C19" s="240"/>
      <c r="D19" s="240"/>
      <c r="E19" s="240"/>
      <c r="F19" s="86" t="str">
        <f t="shared" si="0"/>
        <v>----</v>
      </c>
    </row>
    <row r="20" spans="1:6">
      <c r="A20" s="140"/>
      <c r="B20" s="239"/>
      <c r="C20" s="240"/>
      <c r="D20" s="240"/>
      <c r="E20" s="240"/>
      <c r="F20" s="86" t="str">
        <f t="shared" si="0"/>
        <v>----</v>
      </c>
    </row>
    <row r="21" spans="1:6">
      <c r="A21" s="140"/>
      <c r="B21" s="239"/>
      <c r="C21" s="240"/>
      <c r="D21" s="240"/>
      <c r="E21" s="240"/>
      <c r="F21" s="86" t="str">
        <f t="shared" si="0"/>
        <v>----</v>
      </c>
    </row>
    <row r="22" spans="1:6">
      <c r="A22" s="140"/>
      <c r="B22" s="239"/>
      <c r="C22" s="240"/>
      <c r="D22" s="240"/>
      <c r="E22" s="240"/>
      <c r="F22" s="86" t="str">
        <f t="shared" si="0"/>
        <v>----</v>
      </c>
    </row>
    <row r="23" spans="1:6">
      <c r="A23" s="140"/>
      <c r="B23" s="239"/>
      <c r="C23" s="240"/>
      <c r="D23" s="240"/>
      <c r="E23" s="240"/>
      <c r="F23" s="86" t="str">
        <f t="shared" si="0"/>
        <v>----</v>
      </c>
    </row>
    <row r="24" spans="1:6">
      <c r="A24" s="140"/>
      <c r="B24" s="239"/>
      <c r="C24" s="240"/>
      <c r="D24" s="240"/>
      <c r="E24" s="240"/>
      <c r="F24" s="86" t="str">
        <f t="shared" si="0"/>
        <v>----</v>
      </c>
    </row>
    <row r="25" spans="1:6">
      <c r="A25" s="140"/>
      <c r="B25" s="239"/>
      <c r="C25" s="240"/>
      <c r="D25" s="240"/>
      <c r="E25" s="240"/>
      <c r="F25" s="86" t="str">
        <f t="shared" si="0"/>
        <v>----</v>
      </c>
    </row>
    <row r="26" spans="1:6">
      <c r="A26" s="140"/>
      <c r="B26" s="239"/>
      <c r="C26" s="240"/>
      <c r="D26" s="240"/>
      <c r="E26" s="240"/>
      <c r="F26" s="86" t="str">
        <f t="shared" si="0"/>
        <v>----</v>
      </c>
    </row>
    <row r="27" spans="1:6">
      <c r="A27" s="140"/>
      <c r="B27" s="239"/>
      <c r="C27" s="240"/>
      <c r="D27" s="240"/>
      <c r="E27" s="240"/>
      <c r="F27" s="86" t="str">
        <f t="shared" si="0"/>
        <v>----</v>
      </c>
    </row>
    <row r="28" spans="1:6">
      <c r="A28" s="123"/>
      <c r="B28" s="124"/>
      <c r="C28" s="125"/>
      <c r="D28" s="125"/>
      <c r="E28" s="125"/>
      <c r="F28" s="86" t="str">
        <f t="shared" si="0"/>
        <v>----</v>
      </c>
    </row>
    <row r="29" spans="1:6" ht="15.75" thickBot="1">
      <c r="A29" s="75"/>
      <c r="B29" s="76"/>
      <c r="C29" s="77"/>
      <c r="D29" s="77"/>
      <c r="E29" s="77"/>
      <c r="F29" s="78" t="str">
        <f>IF(ISBLANK($E29),"----",$E29-$D29)</f>
        <v>----</v>
      </c>
    </row>
    <row r="30" spans="1:6" ht="15.75" thickBot="1">
      <c r="A30" s="28"/>
      <c r="B30" s="28"/>
      <c r="C30" s="29"/>
      <c r="D30" s="29"/>
      <c r="E30" s="29"/>
      <c r="F30" s="70">
        <f>SUM(F3:F29)</f>
        <v>46785.26999999996</v>
      </c>
    </row>
  </sheetData>
  <mergeCells count="1">
    <mergeCell ref="A1:F1"/>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F20"/>
  <sheetViews>
    <sheetView workbookViewId="0">
      <selection activeCell="E3" sqref="E3"/>
    </sheetView>
  </sheetViews>
  <sheetFormatPr defaultRowHeight="15"/>
  <cols>
    <col min="2" max="2" width="23.7109375" bestFit="1" customWidth="1"/>
    <col min="3" max="3" width="10.7109375" bestFit="1" customWidth="1"/>
    <col min="4" max="4" width="12.85546875" customWidth="1"/>
    <col min="5" max="5" width="10.28515625" customWidth="1"/>
    <col min="6" max="6" width="13.85546875" customWidth="1"/>
  </cols>
  <sheetData>
    <row r="1" spans="1:6" ht="15.75" thickBot="1">
      <c r="A1" s="530" t="s">
        <v>221</v>
      </c>
      <c r="B1" s="531"/>
      <c r="C1" s="531"/>
      <c r="D1" s="531"/>
      <c r="E1" s="531"/>
      <c r="F1" s="532"/>
    </row>
    <row r="2" spans="1:6" ht="46.5" thickBot="1">
      <c r="A2" s="25" t="s">
        <v>110</v>
      </c>
      <c r="B2" s="79" t="s">
        <v>111</v>
      </c>
      <c r="C2" s="80" t="s">
        <v>112</v>
      </c>
      <c r="D2" s="80" t="s">
        <v>120</v>
      </c>
      <c r="E2" s="80" t="s">
        <v>121</v>
      </c>
      <c r="F2" s="26" t="s">
        <v>113</v>
      </c>
    </row>
    <row r="3" spans="1:6">
      <c r="A3" s="71">
        <v>43879</v>
      </c>
      <c r="B3" s="72" t="s">
        <v>222</v>
      </c>
      <c r="C3" s="73">
        <v>569573.19999999995</v>
      </c>
      <c r="D3" s="73">
        <v>326514.2</v>
      </c>
      <c r="E3" s="73">
        <v>303613.36</v>
      </c>
      <c r="F3" s="74">
        <f>IF(ISBLANK($E3),"----",$E3-$D3)</f>
        <v>-22900.840000000026</v>
      </c>
    </row>
    <row r="4" spans="1:6">
      <c r="A4" s="91">
        <v>44306</v>
      </c>
      <c r="B4" s="106" t="s">
        <v>429</v>
      </c>
      <c r="C4" s="85">
        <v>124421.25</v>
      </c>
      <c r="D4" s="85">
        <f>C4</f>
        <v>124421.25</v>
      </c>
      <c r="E4" s="85"/>
      <c r="F4" s="86" t="str">
        <f t="shared" ref="F4:F17" si="0">IF(ISBLANK($E4),"----",$E4-$D4)</f>
        <v>----</v>
      </c>
    </row>
    <row r="5" spans="1:6">
      <c r="A5" s="107">
        <v>44580</v>
      </c>
      <c r="B5" s="108" t="s">
        <v>498</v>
      </c>
      <c r="C5" s="90">
        <v>295952.5</v>
      </c>
      <c r="D5" s="90">
        <f>C5</f>
        <v>295952.5</v>
      </c>
      <c r="E5" s="90"/>
      <c r="F5" s="122" t="str">
        <f t="shared" si="0"/>
        <v>----</v>
      </c>
    </row>
    <row r="6" spans="1:6">
      <c r="A6" s="107">
        <v>45153</v>
      </c>
      <c r="B6" s="108" t="s">
        <v>678</v>
      </c>
      <c r="C6" s="415">
        <v>368905.6</v>
      </c>
      <c r="D6" s="415">
        <f>C6</f>
        <v>368905.6</v>
      </c>
      <c r="E6" s="90"/>
      <c r="F6" s="122" t="str">
        <f t="shared" si="0"/>
        <v>----</v>
      </c>
    </row>
    <row r="7" spans="1:6">
      <c r="A7" s="107">
        <v>45153</v>
      </c>
      <c r="B7" s="108" t="s">
        <v>679</v>
      </c>
      <c r="C7" s="415">
        <v>623072.6</v>
      </c>
      <c r="D7" s="415">
        <f>C7</f>
        <v>623072.6</v>
      </c>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23"/>
      <c r="B18" s="124"/>
      <c r="C18" s="125"/>
      <c r="D18" s="125"/>
      <c r="E18" s="125"/>
      <c r="F18" s="126" t="str">
        <f>IF(ISBLANK($E18),"----",$E18-$D18)</f>
        <v>----</v>
      </c>
    </row>
    <row r="19" spans="1:6" ht="15.75" thickBot="1">
      <c r="A19" s="75"/>
      <c r="B19" s="76"/>
      <c r="C19" s="77"/>
      <c r="D19" s="77"/>
      <c r="E19" s="77"/>
      <c r="F19" s="78" t="str">
        <f>IF(ISBLANK($E19),"----",$E19-$D19)</f>
        <v>----</v>
      </c>
    </row>
    <row r="20" spans="1:6" ht="15.75" thickBot="1">
      <c r="A20" s="28"/>
      <c r="B20" s="28"/>
      <c r="C20" s="29"/>
      <c r="D20" s="29"/>
      <c r="E20" s="29"/>
      <c r="F20" s="70">
        <f>SUM(F3:F19)</f>
        <v>-22900.840000000026</v>
      </c>
    </row>
  </sheetData>
  <mergeCells count="1">
    <mergeCell ref="A1:F1"/>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F24"/>
  <sheetViews>
    <sheetView workbookViewId="0">
      <selection activeCell="E3" sqref="E3"/>
    </sheetView>
  </sheetViews>
  <sheetFormatPr defaultRowHeight="15"/>
  <cols>
    <col min="2" max="2" width="20.42578125" bestFit="1" customWidth="1"/>
    <col min="3" max="3" width="9.5703125" bestFit="1" customWidth="1"/>
    <col min="4" max="4" width="12.5703125" customWidth="1"/>
    <col min="5" max="5" width="10.140625" bestFit="1" customWidth="1"/>
    <col min="6" max="6" width="11.42578125" customWidth="1"/>
  </cols>
  <sheetData>
    <row r="1" spans="1:6" ht="15.75" thickBot="1">
      <c r="A1" s="530" t="s">
        <v>126</v>
      </c>
      <c r="B1" s="531"/>
      <c r="C1" s="531"/>
      <c r="D1" s="531"/>
      <c r="E1" s="531"/>
      <c r="F1" s="532"/>
    </row>
    <row r="2" spans="1:6" ht="57.75" thickBot="1">
      <c r="A2" s="25" t="s">
        <v>110</v>
      </c>
      <c r="B2" s="79" t="s">
        <v>111</v>
      </c>
      <c r="C2" s="80" t="s">
        <v>112</v>
      </c>
      <c r="D2" s="80" t="s">
        <v>120</v>
      </c>
      <c r="E2" s="80" t="s">
        <v>121</v>
      </c>
      <c r="F2" s="26" t="s">
        <v>113</v>
      </c>
    </row>
    <row r="3" spans="1:6">
      <c r="A3" s="71">
        <v>43970</v>
      </c>
      <c r="B3" s="72" t="s">
        <v>116</v>
      </c>
      <c r="C3" s="73">
        <v>491300.55</v>
      </c>
      <c r="D3" s="73">
        <f>C3</f>
        <v>491300.55</v>
      </c>
      <c r="E3" s="73">
        <v>494435.83</v>
      </c>
      <c r="F3" s="74">
        <f>IF(ISBLANK($E3),"----",$E3-$D3)</f>
        <v>3135.2800000000279</v>
      </c>
    </row>
    <row r="4" spans="1:6">
      <c r="A4" s="91">
        <v>44698</v>
      </c>
      <c r="B4" s="106" t="s">
        <v>524</v>
      </c>
      <c r="C4" s="125">
        <v>724856.94</v>
      </c>
      <c r="D4" s="85">
        <f>C4</f>
        <v>724856.94</v>
      </c>
      <c r="E4" s="85"/>
      <c r="F4" s="86"/>
    </row>
    <row r="5" spans="1:6">
      <c r="A5" s="107"/>
      <c r="B5" s="108"/>
      <c r="C5" s="90"/>
      <c r="D5" s="90"/>
      <c r="E5" s="90"/>
      <c r="F5" s="122"/>
    </row>
    <row r="6" spans="1:6">
      <c r="A6" s="107"/>
      <c r="B6" s="108"/>
      <c r="C6" s="90"/>
      <c r="D6" s="90"/>
      <c r="E6" s="90"/>
      <c r="F6" s="122"/>
    </row>
    <row r="7" spans="1:6">
      <c r="A7" s="107"/>
      <c r="B7" s="108"/>
      <c r="C7" s="90"/>
      <c r="D7" s="90"/>
      <c r="E7" s="90"/>
      <c r="F7" s="122"/>
    </row>
    <row r="8" spans="1:6">
      <c r="A8" s="107"/>
      <c r="B8" s="108"/>
      <c r="C8" s="90"/>
      <c r="D8" s="90"/>
      <c r="E8" s="90"/>
      <c r="F8" s="122"/>
    </row>
    <row r="9" spans="1:6">
      <c r="A9" s="107"/>
      <c r="B9" s="108"/>
      <c r="C9" s="90"/>
      <c r="D9" s="90"/>
      <c r="E9" s="90"/>
      <c r="F9" s="122"/>
    </row>
    <row r="10" spans="1:6">
      <c r="A10" s="107"/>
      <c r="B10" s="108"/>
      <c r="C10" s="90"/>
      <c r="D10" s="90"/>
      <c r="E10" s="90"/>
      <c r="F10" s="122"/>
    </row>
    <row r="11" spans="1:6">
      <c r="A11" s="107"/>
      <c r="B11" s="108"/>
      <c r="C11" s="90"/>
      <c r="D11" s="90"/>
      <c r="E11" s="90"/>
      <c r="F11" s="122"/>
    </row>
    <row r="12" spans="1:6">
      <c r="A12" s="107"/>
      <c r="B12" s="108"/>
      <c r="C12" s="90"/>
      <c r="D12" s="90"/>
      <c r="E12" s="90"/>
      <c r="F12" s="122"/>
    </row>
    <row r="13" spans="1:6">
      <c r="A13" s="107"/>
      <c r="B13" s="108"/>
      <c r="C13" s="90"/>
      <c r="D13" s="90"/>
      <c r="E13" s="90"/>
      <c r="F13" s="122"/>
    </row>
    <row r="14" spans="1:6">
      <c r="A14" s="107"/>
      <c r="B14" s="108"/>
      <c r="C14" s="90"/>
      <c r="D14" s="90"/>
      <c r="E14" s="90"/>
      <c r="F14" s="122"/>
    </row>
    <row r="15" spans="1:6">
      <c r="A15" s="107"/>
      <c r="B15" s="108"/>
      <c r="C15" s="90"/>
      <c r="D15" s="90"/>
      <c r="E15" s="90"/>
      <c r="F15" s="122"/>
    </row>
    <row r="16" spans="1:6">
      <c r="A16" s="123"/>
      <c r="B16" s="124"/>
      <c r="C16" s="125"/>
      <c r="D16" s="125"/>
      <c r="E16" s="125"/>
      <c r="F16" s="126" t="str">
        <f>IF(ISBLANK($E16),"----",$E16-$D16)</f>
        <v>----</v>
      </c>
    </row>
    <row r="17" spans="1:6" ht="15.75" thickBot="1">
      <c r="A17" s="75"/>
      <c r="B17" s="76"/>
      <c r="C17" s="77"/>
      <c r="D17" s="77"/>
      <c r="E17" s="77"/>
      <c r="F17" s="78" t="str">
        <f>IF(ISBLANK($E17),"----",$E17-$D17)</f>
        <v>----</v>
      </c>
    </row>
    <row r="18" spans="1:6" ht="15.75" thickBot="1">
      <c r="A18" s="28"/>
      <c r="B18" s="28"/>
      <c r="C18" s="29"/>
      <c r="D18" s="29"/>
      <c r="E18" s="29"/>
      <c r="F18" s="70">
        <f>SUM(F3:F17)</f>
        <v>3135.2800000000279</v>
      </c>
    </row>
    <row r="24" spans="1:6">
      <c r="A24" s="27"/>
    </row>
  </sheetData>
  <mergeCells count="1">
    <mergeCell ref="A1:F1"/>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G24"/>
  <sheetViews>
    <sheetView workbookViewId="0">
      <selection activeCell="G4" sqref="G4"/>
    </sheetView>
  </sheetViews>
  <sheetFormatPr defaultRowHeight="15"/>
  <cols>
    <col min="2" max="2" width="22" bestFit="1" customWidth="1"/>
    <col min="3" max="4" width="10.7109375" bestFit="1" customWidth="1"/>
  </cols>
  <sheetData>
    <row r="1" spans="1:7" ht="15.75" thickBot="1">
      <c r="A1" s="530" t="s">
        <v>280</v>
      </c>
      <c r="B1" s="531"/>
      <c r="C1" s="531"/>
      <c r="D1" s="531"/>
      <c r="E1" s="531"/>
      <c r="F1" s="532"/>
    </row>
    <row r="2" spans="1:7" ht="69" thickBot="1">
      <c r="A2" s="25" t="s">
        <v>110</v>
      </c>
      <c r="B2" s="79" t="s">
        <v>111</v>
      </c>
      <c r="C2" s="80" t="s">
        <v>112</v>
      </c>
      <c r="D2" s="80" t="s">
        <v>120</v>
      </c>
      <c r="E2" s="80" t="s">
        <v>121</v>
      </c>
      <c r="F2" s="26" t="s">
        <v>113</v>
      </c>
    </row>
    <row r="3" spans="1:7">
      <c r="A3" s="71">
        <v>44580</v>
      </c>
      <c r="B3" s="72" t="s">
        <v>499</v>
      </c>
      <c r="C3" s="73">
        <v>700131.29</v>
      </c>
      <c r="D3" s="73">
        <f>C3</f>
        <v>700131.29</v>
      </c>
      <c r="E3" s="73"/>
      <c r="F3" s="74" t="str">
        <f>IF(ISBLANK($E3),"----",$E3-$D3)</f>
        <v>----</v>
      </c>
    </row>
    <row r="4" spans="1:7">
      <c r="A4" s="94">
        <v>45251</v>
      </c>
      <c r="B4" s="95" t="s">
        <v>699</v>
      </c>
      <c r="C4" s="87">
        <f>816588.74/2</f>
        <v>408294.37</v>
      </c>
      <c r="D4" s="87">
        <f>(C4*2-41530)/2</f>
        <v>387529.37</v>
      </c>
      <c r="E4" s="87"/>
      <c r="F4" s="88" t="str">
        <f t="shared" ref="F4:F20" si="0">IF(ISBLANK($E4),"----",$E4-$D4)</f>
        <v>----</v>
      </c>
      <c r="G4" t="s">
        <v>700</v>
      </c>
    </row>
    <row r="5" spans="1:7">
      <c r="A5" s="91"/>
      <c r="B5" s="106"/>
      <c r="C5" s="85"/>
      <c r="D5" s="85"/>
      <c r="E5" s="85"/>
      <c r="F5" s="86" t="str">
        <f t="shared" si="0"/>
        <v>----</v>
      </c>
    </row>
    <row r="6" spans="1:7">
      <c r="A6" s="94"/>
      <c r="B6" s="95"/>
      <c r="C6" s="87"/>
      <c r="D6" s="87"/>
      <c r="E6" s="87"/>
      <c r="F6" s="88" t="str">
        <f t="shared" si="0"/>
        <v>----</v>
      </c>
    </row>
    <row r="7" spans="1:7">
      <c r="A7" s="91"/>
      <c r="B7" s="106"/>
      <c r="C7" s="85"/>
      <c r="D7" s="85"/>
      <c r="E7" s="85"/>
      <c r="F7" s="86" t="str">
        <f t="shared" si="0"/>
        <v>----</v>
      </c>
    </row>
    <row r="8" spans="1:7">
      <c r="A8" s="94"/>
      <c r="B8" s="95"/>
      <c r="C8" s="87"/>
      <c r="D8" s="87"/>
      <c r="E8" s="87"/>
      <c r="F8" s="88" t="str">
        <f t="shared" si="0"/>
        <v>----</v>
      </c>
    </row>
    <row r="9" spans="1:7">
      <c r="A9" s="91"/>
      <c r="B9" s="106"/>
      <c r="C9" s="85"/>
      <c r="D9" s="85"/>
      <c r="E9" s="85"/>
      <c r="F9" s="86" t="str">
        <f t="shared" si="0"/>
        <v>----</v>
      </c>
    </row>
    <row r="10" spans="1:7">
      <c r="A10" s="94"/>
      <c r="B10" s="95"/>
      <c r="C10" s="87"/>
      <c r="D10" s="87"/>
      <c r="E10" s="87"/>
      <c r="F10" s="88" t="str">
        <f t="shared" si="0"/>
        <v>----</v>
      </c>
    </row>
    <row r="11" spans="1:7">
      <c r="A11" s="91"/>
      <c r="B11" s="106"/>
      <c r="C11" s="85"/>
      <c r="D11" s="85"/>
      <c r="E11" s="85"/>
      <c r="F11" s="86" t="str">
        <f t="shared" si="0"/>
        <v>----</v>
      </c>
    </row>
    <row r="12" spans="1:7">
      <c r="A12" s="94"/>
      <c r="B12" s="95"/>
      <c r="C12" s="87"/>
      <c r="D12" s="87"/>
      <c r="E12" s="87"/>
      <c r="F12" s="88" t="str">
        <f t="shared" si="0"/>
        <v>----</v>
      </c>
    </row>
    <row r="13" spans="1:7">
      <c r="A13" s="91"/>
      <c r="B13" s="106"/>
      <c r="C13" s="85"/>
      <c r="D13" s="85"/>
      <c r="E13" s="85"/>
      <c r="F13" s="86" t="str">
        <f t="shared" si="0"/>
        <v>----</v>
      </c>
    </row>
    <row r="14" spans="1:7">
      <c r="A14" s="94"/>
      <c r="B14" s="95"/>
      <c r="C14" s="87"/>
      <c r="D14" s="87"/>
      <c r="E14" s="87"/>
      <c r="F14" s="88" t="str">
        <f t="shared" si="0"/>
        <v>----</v>
      </c>
    </row>
    <row r="15" spans="1:7">
      <c r="A15" s="91"/>
      <c r="B15" s="106"/>
      <c r="C15" s="85"/>
      <c r="D15" s="85"/>
      <c r="E15" s="85"/>
      <c r="F15" s="86" t="str">
        <f t="shared" si="0"/>
        <v>----</v>
      </c>
    </row>
    <row r="16" spans="1:7">
      <c r="A16" s="94"/>
      <c r="B16" s="95"/>
      <c r="C16" s="87"/>
      <c r="D16" s="87"/>
      <c r="E16" s="87"/>
      <c r="F16" s="88" t="str">
        <f t="shared" si="0"/>
        <v>----</v>
      </c>
    </row>
    <row r="17" spans="1:6">
      <c r="A17" s="91"/>
      <c r="B17" s="106"/>
      <c r="C17" s="85"/>
      <c r="D17" s="85"/>
      <c r="E17" s="85"/>
      <c r="F17" s="86" t="str">
        <f t="shared" si="0"/>
        <v>----</v>
      </c>
    </row>
    <row r="18" spans="1:6">
      <c r="A18" s="94"/>
      <c r="B18" s="95"/>
      <c r="C18" s="87"/>
      <c r="D18" s="87"/>
      <c r="E18" s="87"/>
      <c r="F18" s="88" t="str">
        <f t="shared" si="0"/>
        <v>----</v>
      </c>
    </row>
    <row r="19" spans="1:6">
      <c r="A19" s="91"/>
      <c r="B19" s="106"/>
      <c r="C19" s="85"/>
      <c r="D19" s="85"/>
      <c r="E19" s="85"/>
      <c r="F19" s="86" t="str">
        <f t="shared" si="0"/>
        <v>----</v>
      </c>
    </row>
    <row r="20" spans="1:6">
      <c r="A20" s="94"/>
      <c r="B20" s="95"/>
      <c r="C20" s="87"/>
      <c r="D20" s="87"/>
      <c r="E20" s="87"/>
      <c r="F20" s="88" t="str">
        <f t="shared" si="0"/>
        <v>----</v>
      </c>
    </row>
    <row r="21" spans="1:6">
      <c r="A21" s="91"/>
      <c r="B21" s="106"/>
      <c r="C21" s="85"/>
      <c r="D21" s="85"/>
      <c r="E21" s="85"/>
      <c r="F21" s="86" t="str">
        <f>IF(ISBLANK($E21),"----",$E21-$D21)</f>
        <v>----</v>
      </c>
    </row>
    <row r="22" spans="1:6">
      <c r="A22" s="94"/>
      <c r="B22" s="95"/>
      <c r="C22" s="87"/>
      <c r="D22" s="87"/>
      <c r="E22" s="87"/>
      <c r="F22" s="88" t="str">
        <f>IF(ISBLANK($E22),"----",$E22-$D22)</f>
        <v>----</v>
      </c>
    </row>
    <row r="23" spans="1:6" ht="15.75" thickBot="1">
      <c r="A23" s="75"/>
      <c r="B23" s="76"/>
      <c r="C23" s="77"/>
      <c r="D23" s="77"/>
      <c r="E23" s="77"/>
      <c r="F23" s="78" t="str">
        <f>IF(ISBLANK($E23),"----",$E23-$D23)</f>
        <v>----</v>
      </c>
    </row>
    <row r="24" spans="1:6" ht="15.75" thickBot="1">
      <c r="A24" s="28"/>
      <c r="B24" s="28"/>
      <c r="C24" s="29"/>
      <c r="D24" s="29"/>
      <c r="E24" s="29"/>
      <c r="F24" s="70">
        <f>SUM(F3:F23)</f>
        <v>0</v>
      </c>
    </row>
  </sheetData>
  <mergeCells count="1">
    <mergeCell ref="A1:F1"/>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G22"/>
  <sheetViews>
    <sheetView workbookViewId="0">
      <selection activeCell="E14" sqref="E14"/>
    </sheetView>
  </sheetViews>
  <sheetFormatPr defaultRowHeight="15"/>
  <cols>
    <col min="2" max="2" width="23.7109375" bestFit="1" customWidth="1"/>
    <col min="3" max="3" width="12" bestFit="1" customWidth="1"/>
    <col min="4" max="4" width="12.28515625" customWidth="1"/>
    <col min="5" max="5" width="10.5703125" customWidth="1"/>
    <col min="6" max="6" width="12.85546875" customWidth="1"/>
  </cols>
  <sheetData>
    <row r="1" spans="1:7" ht="15.75" thickBot="1">
      <c r="A1" s="530" t="s">
        <v>140</v>
      </c>
      <c r="B1" s="531"/>
      <c r="C1" s="531"/>
      <c r="D1" s="531"/>
      <c r="E1" s="531"/>
      <c r="F1" s="532"/>
    </row>
    <row r="2" spans="1:7" ht="57.75" thickBot="1">
      <c r="A2" s="25" t="s">
        <v>110</v>
      </c>
      <c r="B2" s="79" t="s">
        <v>111</v>
      </c>
      <c r="C2" s="80" t="s">
        <v>112</v>
      </c>
      <c r="D2" s="80" t="s">
        <v>120</v>
      </c>
      <c r="E2" s="80" t="s">
        <v>121</v>
      </c>
      <c r="F2" s="26" t="s">
        <v>113</v>
      </c>
    </row>
    <row r="3" spans="1:7">
      <c r="A3" s="71">
        <v>43788</v>
      </c>
      <c r="B3" s="72" t="s">
        <v>405</v>
      </c>
      <c r="C3" s="73">
        <v>590082.25</v>
      </c>
      <c r="D3" s="73">
        <f>C3</f>
        <v>590082.25</v>
      </c>
      <c r="E3" s="73"/>
      <c r="F3" s="74" t="str">
        <f>IF(ISBLANK($E3),"----",$E3-$D3)</f>
        <v>----</v>
      </c>
    </row>
    <row r="4" spans="1:7">
      <c r="A4" s="91">
        <v>44243</v>
      </c>
      <c r="B4" s="106" t="s">
        <v>404</v>
      </c>
      <c r="C4" s="85">
        <v>598259.81000000006</v>
      </c>
      <c r="D4" s="85">
        <f>C4</f>
        <v>598259.81000000006</v>
      </c>
      <c r="E4" s="85">
        <v>593849.59999999998</v>
      </c>
      <c r="F4" s="86">
        <f>IF(ISBLANK($E4),"----",$E4-$D4)</f>
        <v>-4410.2100000000792</v>
      </c>
    </row>
    <row r="5" spans="1:7">
      <c r="A5" s="289">
        <v>44460</v>
      </c>
      <c r="B5" s="290" t="s">
        <v>460</v>
      </c>
      <c r="C5" s="291">
        <v>1410959.85</v>
      </c>
      <c r="D5" s="291" t="s">
        <v>514</v>
      </c>
      <c r="E5" s="291"/>
      <c r="F5" s="292" t="str">
        <f t="shared" ref="F5:F20" si="0">IF(ISBLANK($E5),"----",$E5-$D5)</f>
        <v>----</v>
      </c>
      <c r="G5" s="293" t="s">
        <v>515</v>
      </c>
    </row>
    <row r="6" spans="1:7">
      <c r="A6" s="107">
        <v>44824</v>
      </c>
      <c r="B6" s="108" t="s">
        <v>571</v>
      </c>
      <c r="C6" s="90">
        <v>1596014.25</v>
      </c>
      <c r="D6" s="90">
        <v>596014.25</v>
      </c>
      <c r="E6" s="90"/>
      <c r="F6" s="86" t="str">
        <f t="shared" si="0"/>
        <v>----</v>
      </c>
      <c r="G6" t="s">
        <v>570</v>
      </c>
    </row>
    <row r="7" spans="1:7">
      <c r="A7" s="107"/>
      <c r="B7" s="108"/>
      <c r="C7" s="90"/>
      <c r="D7" s="90"/>
      <c r="E7" s="90"/>
      <c r="F7" s="86" t="str">
        <f t="shared" si="0"/>
        <v>----</v>
      </c>
    </row>
    <row r="8" spans="1:7">
      <c r="A8" s="107"/>
      <c r="B8" s="108"/>
      <c r="C8" s="90"/>
      <c r="D8" s="90"/>
      <c r="E8" s="90"/>
      <c r="F8" s="86" t="str">
        <f t="shared" si="0"/>
        <v>----</v>
      </c>
    </row>
    <row r="9" spans="1:7">
      <c r="A9" s="107"/>
      <c r="B9" s="108"/>
      <c r="C9" s="90"/>
      <c r="D9" s="90"/>
      <c r="E9" s="90"/>
      <c r="F9" s="86" t="str">
        <f t="shared" si="0"/>
        <v>----</v>
      </c>
    </row>
    <row r="10" spans="1:7">
      <c r="A10" s="107"/>
      <c r="B10" s="108"/>
      <c r="C10" s="90"/>
      <c r="D10" s="90"/>
      <c r="E10" s="90"/>
      <c r="F10" s="86" t="str">
        <f t="shared" si="0"/>
        <v>----</v>
      </c>
    </row>
    <row r="11" spans="1:7">
      <c r="A11" s="107"/>
      <c r="B11" s="108"/>
      <c r="C11" s="90"/>
      <c r="D11" s="90"/>
      <c r="E11" s="90"/>
      <c r="F11" s="86" t="str">
        <f t="shared" si="0"/>
        <v>----</v>
      </c>
    </row>
    <row r="12" spans="1:7">
      <c r="A12" s="107"/>
      <c r="B12" s="108"/>
      <c r="C12" s="90"/>
      <c r="D12" s="90"/>
      <c r="E12" s="90"/>
      <c r="F12" s="86" t="str">
        <f t="shared" si="0"/>
        <v>----</v>
      </c>
    </row>
    <row r="13" spans="1:7">
      <c r="A13" s="107"/>
      <c r="B13" s="108"/>
      <c r="C13" s="90"/>
      <c r="D13" s="90"/>
      <c r="E13" s="90"/>
      <c r="F13" s="86" t="str">
        <f t="shared" si="0"/>
        <v>----</v>
      </c>
    </row>
    <row r="14" spans="1:7">
      <c r="A14" s="107"/>
      <c r="B14" s="108"/>
      <c r="C14" s="90"/>
      <c r="D14" s="90"/>
      <c r="E14" s="90"/>
      <c r="F14" s="86" t="str">
        <f t="shared" si="0"/>
        <v>----</v>
      </c>
    </row>
    <row r="15" spans="1:7">
      <c r="A15" s="107"/>
      <c r="B15" s="108"/>
      <c r="C15" s="90"/>
      <c r="D15" s="90"/>
      <c r="E15" s="90"/>
      <c r="F15" s="86" t="str">
        <f t="shared" si="0"/>
        <v>----</v>
      </c>
    </row>
    <row r="16" spans="1:7">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23"/>
      <c r="B20" s="124"/>
      <c r="C20" s="125"/>
      <c r="D20" s="125"/>
      <c r="E20" s="125"/>
      <c r="F20" s="86" t="str">
        <f t="shared" si="0"/>
        <v>----</v>
      </c>
    </row>
    <row r="21" spans="1:6" ht="15.75" thickBot="1">
      <c r="A21" s="75"/>
      <c r="B21" s="76"/>
      <c r="C21" s="77"/>
      <c r="D21" s="77"/>
      <c r="E21" s="77"/>
      <c r="F21" s="78" t="str">
        <f>IF(ISBLANK($E21),"----",$E21-$D21)</f>
        <v>----</v>
      </c>
    </row>
    <row r="22" spans="1:6" ht="15.75" thickBot="1">
      <c r="A22" s="28"/>
      <c r="B22" s="28"/>
      <c r="C22" s="29"/>
      <c r="D22" s="29"/>
      <c r="E22" s="29"/>
      <c r="F22" s="70">
        <f>SUM(F3:F21)</f>
        <v>-4410.2100000000792</v>
      </c>
    </row>
  </sheetData>
  <mergeCells count="1">
    <mergeCell ref="A1:F1"/>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F22"/>
  <sheetViews>
    <sheetView workbookViewId="0">
      <selection activeCell="E3" sqref="E3"/>
    </sheetView>
  </sheetViews>
  <sheetFormatPr defaultRowHeight="15"/>
  <cols>
    <col min="2" max="2" width="22.42578125" bestFit="1" customWidth="1"/>
    <col min="3" max="5" width="12" bestFit="1" customWidth="1"/>
    <col min="6" max="6" width="14" customWidth="1"/>
  </cols>
  <sheetData>
    <row r="1" spans="1:6" ht="15.75" thickBot="1">
      <c r="A1" s="530" t="s">
        <v>187</v>
      </c>
      <c r="B1" s="531"/>
      <c r="C1" s="531"/>
      <c r="D1" s="531"/>
      <c r="E1" s="531"/>
      <c r="F1" s="532"/>
    </row>
    <row r="2" spans="1:6" ht="57.75" thickBot="1">
      <c r="A2" s="25" t="s">
        <v>110</v>
      </c>
      <c r="B2" s="79" t="s">
        <v>111</v>
      </c>
      <c r="C2" s="80" t="s">
        <v>112</v>
      </c>
      <c r="D2" s="80" t="s">
        <v>120</v>
      </c>
      <c r="E2" s="80" t="s">
        <v>121</v>
      </c>
      <c r="F2" s="26" t="s">
        <v>113</v>
      </c>
    </row>
    <row r="3" spans="1:6">
      <c r="A3" s="71">
        <v>43852</v>
      </c>
      <c r="B3" s="72" t="s">
        <v>191</v>
      </c>
      <c r="C3" s="73">
        <v>2217900.0499999998</v>
      </c>
      <c r="D3" s="73">
        <f>C3</f>
        <v>2217900.0499999998</v>
      </c>
      <c r="E3" s="73">
        <v>2258461.2599999998</v>
      </c>
      <c r="F3" s="74">
        <f>IF(ISBLANK($E3),"----",$E3-$D3)</f>
        <v>40561.209999999963</v>
      </c>
    </row>
    <row r="4" spans="1:6">
      <c r="A4" s="91">
        <v>44180</v>
      </c>
      <c r="B4" s="106" t="s">
        <v>365</v>
      </c>
      <c r="C4" s="85">
        <v>907604.08</v>
      </c>
      <c r="D4" s="85">
        <f>C4</f>
        <v>907604.08</v>
      </c>
      <c r="E4" s="85">
        <v>922172.46</v>
      </c>
      <c r="F4" s="86">
        <f>IF(ISBLANK($E4),"----",$E4-$D4)</f>
        <v>14568.380000000005</v>
      </c>
    </row>
    <row r="5" spans="1:6">
      <c r="A5" s="107"/>
      <c r="B5" s="108"/>
      <c r="C5" s="90"/>
      <c r="D5" s="90"/>
      <c r="E5" s="90"/>
      <c r="F5" s="126" t="str">
        <f t="shared" ref="F5:F19" si="0">IF(ISBLANK($E5),"----",$E5-$D5)</f>
        <v>----</v>
      </c>
    </row>
    <row r="6" spans="1:6">
      <c r="A6" s="107"/>
      <c r="B6" s="108"/>
      <c r="C6" s="90"/>
      <c r="D6" s="90"/>
      <c r="E6" s="90"/>
      <c r="F6" s="150" t="str">
        <f t="shared" si="0"/>
        <v>----</v>
      </c>
    </row>
    <row r="7" spans="1:6">
      <c r="A7" s="107"/>
      <c r="B7" s="108"/>
      <c r="C7" s="90"/>
      <c r="D7" s="90"/>
      <c r="E7" s="90"/>
      <c r="F7" s="150" t="str">
        <f t="shared" si="0"/>
        <v>----</v>
      </c>
    </row>
    <row r="8" spans="1:6">
      <c r="A8" s="107"/>
      <c r="B8" s="108"/>
      <c r="C8" s="90"/>
      <c r="D8" s="90"/>
      <c r="E8" s="90"/>
      <c r="F8" s="150" t="str">
        <f t="shared" si="0"/>
        <v>----</v>
      </c>
    </row>
    <row r="9" spans="1:6">
      <c r="A9" s="107"/>
      <c r="B9" s="108"/>
      <c r="C9" s="90"/>
      <c r="D9" s="90"/>
      <c r="E9" s="90"/>
      <c r="F9" s="150" t="str">
        <f t="shared" si="0"/>
        <v>----</v>
      </c>
    </row>
    <row r="10" spans="1:6">
      <c r="A10" s="107"/>
      <c r="B10" s="108"/>
      <c r="C10" s="90"/>
      <c r="D10" s="90"/>
      <c r="E10" s="90"/>
      <c r="F10" s="150" t="str">
        <f t="shared" si="0"/>
        <v>----</v>
      </c>
    </row>
    <row r="11" spans="1:6">
      <c r="A11" s="107"/>
      <c r="B11" s="108"/>
      <c r="C11" s="90"/>
      <c r="D11" s="90"/>
      <c r="E11" s="90"/>
      <c r="F11" s="150" t="str">
        <f t="shared" si="0"/>
        <v>----</v>
      </c>
    </row>
    <row r="12" spans="1:6">
      <c r="A12" s="107"/>
      <c r="B12" s="108"/>
      <c r="C12" s="90"/>
      <c r="D12" s="90"/>
      <c r="E12" s="90"/>
      <c r="F12" s="150" t="str">
        <f t="shared" si="0"/>
        <v>----</v>
      </c>
    </row>
    <row r="13" spans="1:6">
      <c r="A13" s="107"/>
      <c r="B13" s="108"/>
      <c r="C13" s="90"/>
      <c r="D13" s="90"/>
      <c r="E13" s="90"/>
      <c r="F13" s="150" t="str">
        <f t="shared" si="0"/>
        <v>----</v>
      </c>
    </row>
    <row r="14" spans="1:6">
      <c r="A14" s="107"/>
      <c r="B14" s="108"/>
      <c r="C14" s="90"/>
      <c r="D14" s="90"/>
      <c r="E14" s="90"/>
      <c r="F14" s="150" t="str">
        <f t="shared" si="0"/>
        <v>----</v>
      </c>
    </row>
    <row r="15" spans="1:6">
      <c r="A15" s="107"/>
      <c r="B15" s="108"/>
      <c r="C15" s="90"/>
      <c r="D15" s="90"/>
      <c r="E15" s="90"/>
      <c r="F15" s="150" t="str">
        <f t="shared" si="0"/>
        <v>----</v>
      </c>
    </row>
    <row r="16" spans="1:6">
      <c r="A16" s="107"/>
      <c r="B16" s="108"/>
      <c r="C16" s="90"/>
      <c r="D16" s="90"/>
      <c r="E16" s="90"/>
      <c r="F16" s="150" t="str">
        <f t="shared" si="0"/>
        <v>----</v>
      </c>
    </row>
    <row r="17" spans="1:6">
      <c r="A17" s="107"/>
      <c r="B17" s="108"/>
      <c r="C17" s="90"/>
      <c r="D17" s="90"/>
      <c r="E17" s="90"/>
      <c r="F17" s="150" t="str">
        <f t="shared" si="0"/>
        <v>----</v>
      </c>
    </row>
    <row r="18" spans="1:6">
      <c r="A18" s="107"/>
      <c r="B18" s="108"/>
      <c r="C18" s="90"/>
      <c r="D18" s="90"/>
      <c r="E18" s="90"/>
      <c r="F18" s="150" t="str">
        <f t="shared" si="0"/>
        <v>----</v>
      </c>
    </row>
    <row r="19" spans="1:6">
      <c r="A19" s="107"/>
      <c r="B19" s="108"/>
      <c r="C19" s="90"/>
      <c r="D19" s="90"/>
      <c r="E19" s="90"/>
      <c r="F19" s="150" t="str">
        <f t="shared" si="0"/>
        <v>----</v>
      </c>
    </row>
    <row r="20" spans="1:6">
      <c r="A20" s="94"/>
      <c r="B20" s="95"/>
      <c r="C20" s="87"/>
      <c r="D20" s="87"/>
      <c r="E20" s="87"/>
      <c r="F20" s="150" t="str">
        <f>IF(ISBLANK($E20),"----",$E20-$D20)</f>
        <v>----</v>
      </c>
    </row>
    <row r="21" spans="1:6" ht="15.75" thickBot="1">
      <c r="A21" s="75"/>
      <c r="B21" s="76"/>
      <c r="C21" s="77"/>
      <c r="D21" s="77"/>
      <c r="E21" s="77"/>
      <c r="F21" s="78" t="str">
        <f>IF(ISBLANK($E21),"----",$E21-$D21)</f>
        <v>----</v>
      </c>
    </row>
    <row r="22" spans="1:6" ht="15.75" thickBot="1">
      <c r="A22" s="28"/>
      <c r="B22" s="28"/>
      <c r="C22" s="29"/>
      <c r="D22" s="29"/>
      <c r="E22" s="29"/>
      <c r="F22" s="70">
        <f>SUM(F3:F21)</f>
        <v>55129.589999999967</v>
      </c>
    </row>
  </sheetData>
  <mergeCells count="1">
    <mergeCell ref="A1:F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F21"/>
  <sheetViews>
    <sheetView workbookViewId="0">
      <selection activeCell="E3" sqref="E3"/>
    </sheetView>
  </sheetViews>
  <sheetFormatPr defaultRowHeight="15"/>
  <cols>
    <col min="2" max="2" width="22.85546875" bestFit="1" customWidth="1"/>
    <col min="3" max="4" width="12" bestFit="1" customWidth="1"/>
    <col min="5" max="5" width="10.140625" bestFit="1" customWidth="1"/>
  </cols>
  <sheetData>
    <row r="1" spans="1:6" ht="15.75" thickBot="1">
      <c r="A1" s="530" t="s">
        <v>281</v>
      </c>
      <c r="B1" s="531"/>
      <c r="C1" s="531"/>
      <c r="D1" s="531"/>
      <c r="E1" s="531"/>
      <c r="F1" s="532"/>
    </row>
    <row r="2" spans="1:6" ht="69" thickBot="1">
      <c r="A2" s="25" t="s">
        <v>110</v>
      </c>
      <c r="B2" s="79" t="s">
        <v>111</v>
      </c>
      <c r="C2" s="80" t="s">
        <v>112</v>
      </c>
      <c r="D2" s="80" t="s">
        <v>120</v>
      </c>
      <c r="E2" s="80" t="s">
        <v>121</v>
      </c>
      <c r="F2" s="26" t="s">
        <v>113</v>
      </c>
    </row>
    <row r="3" spans="1:6">
      <c r="A3" s="71">
        <v>44180</v>
      </c>
      <c r="B3" s="72" t="s">
        <v>366</v>
      </c>
      <c r="C3" s="73">
        <v>613276.30000000005</v>
      </c>
      <c r="D3" s="73">
        <f>C3</f>
        <v>613276.30000000005</v>
      </c>
      <c r="E3" s="73">
        <v>616949.07999999996</v>
      </c>
      <c r="F3" s="74">
        <f t="shared" ref="F3:F20" si="0">IF(ISBLANK($E3),"----",$E3-$D3)</f>
        <v>3672.7799999999115</v>
      </c>
    </row>
    <row r="4" spans="1:6">
      <c r="A4" s="91">
        <v>44425</v>
      </c>
      <c r="B4" s="106" t="s">
        <v>451</v>
      </c>
      <c r="C4" s="85">
        <v>497173.2</v>
      </c>
      <c r="D4" s="85">
        <f>C4</f>
        <v>497173.2</v>
      </c>
      <c r="E4" s="85"/>
      <c r="F4" s="86" t="str">
        <f t="shared" si="0"/>
        <v>----</v>
      </c>
    </row>
    <row r="5" spans="1:6">
      <c r="A5" s="94">
        <v>44425</v>
      </c>
      <c r="B5" s="95" t="s">
        <v>452</v>
      </c>
      <c r="C5" s="87">
        <v>1113678.29</v>
      </c>
      <c r="D5" s="87">
        <f>C5</f>
        <v>1113678.29</v>
      </c>
      <c r="E5" s="87"/>
      <c r="F5" s="88" t="str">
        <f t="shared" si="0"/>
        <v>----</v>
      </c>
    </row>
    <row r="6" spans="1:6">
      <c r="A6" s="91">
        <v>44460</v>
      </c>
      <c r="B6" s="106" t="s">
        <v>461</v>
      </c>
      <c r="C6" s="85">
        <v>1026961.51</v>
      </c>
      <c r="D6" s="85">
        <v>562691.51</v>
      </c>
      <c r="E6" s="85"/>
      <c r="F6" s="86" t="str">
        <f t="shared" si="0"/>
        <v>----</v>
      </c>
    </row>
    <row r="7" spans="1:6">
      <c r="A7" s="94">
        <v>44516</v>
      </c>
      <c r="B7" s="95" t="s">
        <v>471</v>
      </c>
      <c r="C7" s="87">
        <v>603692</v>
      </c>
      <c r="D7" s="125">
        <f>C7</f>
        <v>603692</v>
      </c>
      <c r="E7" s="87"/>
      <c r="F7" s="88" t="str">
        <f t="shared" si="0"/>
        <v>----</v>
      </c>
    </row>
    <row r="8" spans="1:6">
      <c r="A8" s="91">
        <v>44761</v>
      </c>
      <c r="B8" s="106" t="s">
        <v>553</v>
      </c>
      <c r="C8" s="85">
        <v>1772735.58</v>
      </c>
      <c r="D8" s="318">
        <f>C8</f>
        <v>1772735.58</v>
      </c>
      <c r="E8" s="85"/>
      <c r="F8" s="86" t="str">
        <f t="shared" si="0"/>
        <v>----</v>
      </c>
    </row>
    <row r="9" spans="1:6">
      <c r="A9" s="94">
        <v>45279</v>
      </c>
      <c r="B9" s="95" t="s">
        <v>711</v>
      </c>
      <c r="C9" s="434">
        <v>496800.25</v>
      </c>
      <c r="D9" s="318">
        <f>C9</f>
        <v>496800.25</v>
      </c>
      <c r="E9" s="87"/>
      <c r="F9" s="88" t="str">
        <f t="shared" si="0"/>
        <v>----</v>
      </c>
    </row>
    <row r="10" spans="1:6">
      <c r="A10" s="91"/>
      <c r="B10" s="106"/>
      <c r="C10" s="85"/>
      <c r="D10" s="85"/>
      <c r="E10" s="85"/>
      <c r="F10" s="86" t="str">
        <f t="shared" si="0"/>
        <v>----</v>
      </c>
    </row>
    <row r="11" spans="1:6">
      <c r="A11" s="94"/>
      <c r="B11" s="95"/>
      <c r="C11" s="87"/>
      <c r="D11" s="87"/>
      <c r="E11" s="87"/>
      <c r="F11" s="88" t="str">
        <f t="shared" si="0"/>
        <v>----</v>
      </c>
    </row>
    <row r="12" spans="1:6">
      <c r="A12" s="91"/>
      <c r="B12" s="106"/>
      <c r="C12" s="85"/>
      <c r="D12" s="85"/>
      <c r="E12" s="85"/>
      <c r="F12" s="86" t="str">
        <f t="shared" si="0"/>
        <v>----</v>
      </c>
    </row>
    <row r="13" spans="1:6">
      <c r="A13" s="94"/>
      <c r="B13" s="95"/>
      <c r="C13" s="87"/>
      <c r="D13" s="87"/>
      <c r="E13" s="87"/>
      <c r="F13" s="88" t="str">
        <f t="shared" si="0"/>
        <v>----</v>
      </c>
    </row>
    <row r="14" spans="1:6">
      <c r="A14" s="91"/>
      <c r="B14" s="106"/>
      <c r="C14" s="85"/>
      <c r="D14" s="85"/>
      <c r="E14" s="85"/>
      <c r="F14" s="86" t="str">
        <f t="shared" si="0"/>
        <v>----</v>
      </c>
    </row>
    <row r="15" spans="1:6">
      <c r="A15" s="94"/>
      <c r="B15" s="95"/>
      <c r="C15" s="87"/>
      <c r="D15" s="87"/>
      <c r="E15" s="87"/>
      <c r="F15" s="88" t="str">
        <f t="shared" si="0"/>
        <v>----</v>
      </c>
    </row>
    <row r="16" spans="1:6">
      <c r="A16" s="91"/>
      <c r="B16" s="106"/>
      <c r="C16" s="85"/>
      <c r="D16" s="85"/>
      <c r="E16" s="85"/>
      <c r="F16" s="86" t="str">
        <f t="shared" si="0"/>
        <v>----</v>
      </c>
    </row>
    <row r="17" spans="1:6">
      <c r="A17" s="94"/>
      <c r="B17" s="95"/>
      <c r="C17" s="87"/>
      <c r="D17" s="87"/>
      <c r="E17" s="87"/>
      <c r="F17" s="88" t="str">
        <f t="shared" si="0"/>
        <v>----</v>
      </c>
    </row>
    <row r="18" spans="1:6">
      <c r="A18" s="91"/>
      <c r="B18" s="106"/>
      <c r="C18" s="85"/>
      <c r="D18" s="85"/>
      <c r="E18" s="85"/>
      <c r="F18" s="86" t="str">
        <f t="shared" si="0"/>
        <v>----</v>
      </c>
    </row>
    <row r="19" spans="1:6">
      <c r="A19" s="94"/>
      <c r="B19" s="95"/>
      <c r="C19" s="87"/>
      <c r="D19" s="87"/>
      <c r="E19" s="87"/>
      <c r="F19" s="88" t="str">
        <f t="shared" si="0"/>
        <v>----</v>
      </c>
    </row>
    <row r="20" spans="1:6" ht="15.75" thickBot="1">
      <c r="A20" s="75"/>
      <c r="B20" s="76"/>
      <c r="C20" s="77"/>
      <c r="D20" s="77"/>
      <c r="E20" s="77"/>
      <c r="F20" s="78" t="str">
        <f t="shared" si="0"/>
        <v>----</v>
      </c>
    </row>
    <row r="21" spans="1:6" ht="15.75" thickBot="1">
      <c r="A21" s="28"/>
      <c r="B21" s="28"/>
      <c r="C21" s="29"/>
      <c r="D21" s="29"/>
      <c r="E21" s="29"/>
      <c r="F21" s="70">
        <f>SUM(F3:F20)</f>
        <v>3672.7799999999115</v>
      </c>
    </row>
  </sheetData>
  <mergeCells count="1">
    <mergeCell ref="A1:F1"/>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F16"/>
  <sheetViews>
    <sheetView workbookViewId="0">
      <selection activeCell="E4" sqref="E3:E4"/>
    </sheetView>
  </sheetViews>
  <sheetFormatPr defaultRowHeight="15"/>
  <cols>
    <col min="2" max="2" width="22.7109375" bestFit="1" customWidth="1"/>
    <col min="3" max="3" width="11.42578125" bestFit="1" customWidth="1"/>
    <col min="4" max="4" width="11.7109375" customWidth="1"/>
    <col min="5" max="5" width="10.140625" bestFit="1" customWidth="1"/>
    <col min="6" max="6" width="14.140625" customWidth="1"/>
  </cols>
  <sheetData>
    <row r="1" spans="1:6" ht="15.75" thickBot="1">
      <c r="A1" s="530" t="s">
        <v>233</v>
      </c>
      <c r="B1" s="531"/>
      <c r="C1" s="531"/>
      <c r="D1" s="531"/>
      <c r="E1" s="531"/>
      <c r="F1" s="532"/>
    </row>
    <row r="2" spans="1:6" ht="57.75" thickBot="1">
      <c r="A2" s="25" t="s">
        <v>110</v>
      </c>
      <c r="B2" s="79" t="s">
        <v>111</v>
      </c>
      <c r="C2" s="80" t="s">
        <v>112</v>
      </c>
      <c r="D2" s="80" t="s">
        <v>120</v>
      </c>
      <c r="E2" s="80" t="s">
        <v>121</v>
      </c>
      <c r="F2" s="26" t="s">
        <v>113</v>
      </c>
    </row>
    <row r="3" spans="1:6">
      <c r="A3" s="71">
        <v>43942</v>
      </c>
      <c r="B3" s="72" t="s">
        <v>239</v>
      </c>
      <c r="C3" s="73">
        <v>334806.84999999998</v>
      </c>
      <c r="D3" s="73">
        <f>C3</f>
        <v>334806.84999999998</v>
      </c>
      <c r="E3" s="73">
        <v>336518.11</v>
      </c>
      <c r="F3" s="74">
        <f>IF(ISBLANK($E3),"----",$E3-$D3)</f>
        <v>1711.2600000000093</v>
      </c>
    </row>
    <row r="4" spans="1:6">
      <c r="A4" s="134">
        <v>44153</v>
      </c>
      <c r="B4" s="131" t="s">
        <v>338</v>
      </c>
      <c r="C4" s="136">
        <v>899601.3</v>
      </c>
      <c r="D4" s="136">
        <f>C4</f>
        <v>899601.3</v>
      </c>
      <c r="E4" s="136">
        <v>963236.39</v>
      </c>
      <c r="F4" s="133">
        <f t="shared" ref="F4:F13" si="0">IF(ISBLANK($E4),"----",$E4-$D4)</f>
        <v>63635.089999999967</v>
      </c>
    </row>
    <row r="5" spans="1:6">
      <c r="A5" s="127">
        <v>44852</v>
      </c>
      <c r="B5" s="128" t="s">
        <v>580</v>
      </c>
      <c r="C5" s="129">
        <v>632854.6</v>
      </c>
      <c r="D5" s="129">
        <f>C5</f>
        <v>632854.6</v>
      </c>
      <c r="E5" s="129"/>
      <c r="F5" s="133" t="str">
        <f t="shared" si="0"/>
        <v>----</v>
      </c>
    </row>
    <row r="6" spans="1:6">
      <c r="A6" s="127">
        <v>44852</v>
      </c>
      <c r="B6" s="128" t="s">
        <v>581</v>
      </c>
      <c r="C6" s="129">
        <v>1007853.3</v>
      </c>
      <c r="D6" s="129">
        <f>C6</f>
        <v>1007853.3</v>
      </c>
      <c r="E6" s="129"/>
      <c r="F6" s="133" t="str">
        <f t="shared" si="0"/>
        <v>----</v>
      </c>
    </row>
    <row r="7" spans="1:6">
      <c r="A7" s="127"/>
      <c r="B7" s="128"/>
      <c r="C7" s="129"/>
      <c r="D7" s="129"/>
      <c r="E7" s="129"/>
      <c r="F7" s="133" t="str">
        <f t="shared" si="0"/>
        <v>----</v>
      </c>
    </row>
    <row r="8" spans="1:6">
      <c r="A8" s="127"/>
      <c r="B8" s="128"/>
      <c r="C8" s="129"/>
      <c r="D8" s="129"/>
      <c r="E8" s="129"/>
      <c r="F8" s="133" t="str">
        <f t="shared" si="0"/>
        <v>----</v>
      </c>
    </row>
    <row r="9" spans="1:6">
      <c r="A9" s="127"/>
      <c r="B9" s="128"/>
      <c r="C9" s="129"/>
      <c r="D9" s="129"/>
      <c r="E9" s="129"/>
      <c r="F9" s="133" t="str">
        <f t="shared" si="0"/>
        <v>----</v>
      </c>
    </row>
    <row r="10" spans="1:6">
      <c r="A10" s="127"/>
      <c r="B10" s="128"/>
      <c r="C10" s="129"/>
      <c r="D10" s="129"/>
      <c r="E10" s="129"/>
      <c r="F10" s="133" t="str">
        <f t="shared" si="0"/>
        <v>----</v>
      </c>
    </row>
    <row r="11" spans="1:6">
      <c r="A11" s="127"/>
      <c r="B11" s="128"/>
      <c r="C11" s="129"/>
      <c r="D11" s="129"/>
      <c r="E11" s="129"/>
      <c r="F11" s="133" t="str">
        <f t="shared" si="0"/>
        <v>----</v>
      </c>
    </row>
    <row r="12" spans="1:6">
      <c r="A12" s="127"/>
      <c r="B12" s="128"/>
      <c r="C12" s="129"/>
      <c r="D12" s="129"/>
      <c r="E12" s="129"/>
      <c r="F12" s="133" t="str">
        <f t="shared" si="0"/>
        <v>----</v>
      </c>
    </row>
    <row r="13" spans="1:6">
      <c r="A13" s="127"/>
      <c r="B13" s="128"/>
      <c r="C13" s="129"/>
      <c r="D13" s="129"/>
      <c r="E13" s="129"/>
      <c r="F13" s="133" t="str">
        <f t="shared" si="0"/>
        <v>----</v>
      </c>
    </row>
    <row r="14" spans="1:6">
      <c r="A14" s="130"/>
      <c r="C14" s="132"/>
      <c r="D14" s="132"/>
      <c r="E14" s="132"/>
      <c r="F14" s="133" t="str">
        <f>IF(ISBLANK($E14),"----",$E14-$D14)</f>
        <v>----</v>
      </c>
    </row>
    <row r="15" spans="1:6" ht="15.75" thickBot="1">
      <c r="A15" s="75"/>
      <c r="B15" s="76"/>
      <c r="C15" s="77"/>
      <c r="D15" s="77"/>
      <c r="E15" s="77"/>
      <c r="F15" s="78" t="str">
        <f>IF(ISBLANK($E15),"----",$E15-$D15)</f>
        <v>----</v>
      </c>
    </row>
    <row r="16" spans="1:6" ht="15.75" thickBot="1">
      <c r="A16" s="28"/>
      <c r="B16" s="28"/>
      <c r="C16" s="29"/>
      <c r="D16" s="29"/>
      <c r="E16" s="29"/>
      <c r="F16" s="70">
        <f>SUM(F3:F15)</f>
        <v>65346.349999999977</v>
      </c>
    </row>
  </sheetData>
  <mergeCells count="1">
    <mergeCell ref="A1:F1"/>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F22"/>
  <sheetViews>
    <sheetView topLeftCell="A13" workbookViewId="0">
      <selection activeCell="E6" sqref="E6"/>
    </sheetView>
  </sheetViews>
  <sheetFormatPr defaultRowHeight="15"/>
  <cols>
    <col min="2" max="2" width="22.85546875" bestFit="1" customWidth="1"/>
    <col min="3" max="4" width="10.7109375" bestFit="1" customWidth="1"/>
    <col min="5" max="5" width="10.140625" bestFit="1" customWidth="1"/>
    <col min="6" max="6" width="10.85546875" customWidth="1"/>
  </cols>
  <sheetData>
    <row r="1" spans="1:6" ht="15.75" thickBot="1">
      <c r="A1" s="530" t="s">
        <v>155</v>
      </c>
      <c r="B1" s="531"/>
      <c r="C1" s="531"/>
      <c r="D1" s="531"/>
      <c r="E1" s="531"/>
      <c r="F1" s="532"/>
    </row>
    <row r="2" spans="1:6" ht="57.75" thickBot="1">
      <c r="A2" s="25" t="s">
        <v>110</v>
      </c>
      <c r="B2" s="79" t="s">
        <v>111</v>
      </c>
      <c r="C2" s="80" t="s">
        <v>112</v>
      </c>
      <c r="D2" s="80" t="s">
        <v>120</v>
      </c>
      <c r="E2" s="80" t="s">
        <v>121</v>
      </c>
      <c r="F2" s="26" t="s">
        <v>113</v>
      </c>
    </row>
    <row r="3" spans="1:6">
      <c r="A3" s="71">
        <v>43816</v>
      </c>
      <c r="B3" s="72" t="s">
        <v>166</v>
      </c>
      <c r="C3" s="73">
        <v>211384.46</v>
      </c>
      <c r="D3" s="73">
        <f t="shared" ref="D3:D8" si="0">C3</f>
        <v>211384.46</v>
      </c>
      <c r="E3" s="73">
        <v>210384.36</v>
      </c>
      <c r="F3" s="74">
        <f>IF(ISBLANK($E3),"----",$E3-$D3)</f>
        <v>-1000.1000000000058</v>
      </c>
    </row>
    <row r="4" spans="1:6">
      <c r="A4" s="94">
        <v>44033</v>
      </c>
      <c r="B4" s="95" t="s">
        <v>298</v>
      </c>
      <c r="C4" s="87">
        <v>108568.5</v>
      </c>
      <c r="D4" s="87">
        <f t="shared" si="0"/>
        <v>108568.5</v>
      </c>
      <c r="E4" s="87">
        <v>113572.5</v>
      </c>
      <c r="F4" s="86">
        <f>IF(ISBLANK($E4),"----",$E4-$D4)</f>
        <v>5004</v>
      </c>
    </row>
    <row r="5" spans="1:6">
      <c r="A5" s="140">
        <v>44089</v>
      </c>
      <c r="B5" s="239" t="s">
        <v>306</v>
      </c>
      <c r="C5" s="240">
        <v>437080.98</v>
      </c>
      <c r="D5" s="240">
        <f t="shared" si="0"/>
        <v>437080.98</v>
      </c>
      <c r="E5" s="240">
        <v>438052.58</v>
      </c>
      <c r="F5" s="88">
        <f t="shared" ref="F5:F20" si="1">IF(ISBLANK($E5),"----",$E5-$D5)</f>
        <v>971.60000000003492</v>
      </c>
    </row>
    <row r="6" spans="1:6">
      <c r="A6" s="107">
        <v>44488</v>
      </c>
      <c r="B6" s="108" t="s">
        <v>465</v>
      </c>
      <c r="C6" s="90">
        <v>246879.7</v>
      </c>
      <c r="D6" s="90">
        <f t="shared" si="0"/>
        <v>246879.7</v>
      </c>
      <c r="E6" s="90">
        <v>257480.68</v>
      </c>
      <c r="F6" s="122">
        <f t="shared" si="1"/>
        <v>10600.979999999981</v>
      </c>
    </row>
    <row r="7" spans="1:6">
      <c r="A7" s="107">
        <v>44516</v>
      </c>
      <c r="B7" s="108" t="s">
        <v>472</v>
      </c>
      <c r="C7" s="90">
        <v>372376.2</v>
      </c>
      <c r="D7" s="90">
        <f t="shared" si="0"/>
        <v>372376.2</v>
      </c>
      <c r="E7" s="90"/>
      <c r="F7" s="122" t="str">
        <f t="shared" si="1"/>
        <v>----</v>
      </c>
    </row>
    <row r="8" spans="1:6">
      <c r="A8" s="107">
        <v>44607</v>
      </c>
      <c r="B8" s="108" t="s">
        <v>512</v>
      </c>
      <c r="C8" s="90">
        <v>455896.06</v>
      </c>
      <c r="D8" s="90">
        <f t="shared" si="0"/>
        <v>455896.06</v>
      </c>
      <c r="E8" s="90">
        <v>487548.85</v>
      </c>
      <c r="F8" s="122">
        <f t="shared" si="1"/>
        <v>31652.789999999979</v>
      </c>
    </row>
    <row r="9" spans="1:6">
      <c r="A9" s="107">
        <v>44880</v>
      </c>
      <c r="B9" s="108" t="s">
        <v>602</v>
      </c>
      <c r="C9" s="90">
        <v>246472.51</v>
      </c>
      <c r="D9" s="90">
        <f>C9</f>
        <v>246472.51</v>
      </c>
      <c r="E9" s="90"/>
      <c r="F9" s="122" t="str">
        <f t="shared" si="1"/>
        <v>----</v>
      </c>
    </row>
    <row r="10" spans="1:6">
      <c r="A10" s="107">
        <v>45097</v>
      </c>
      <c r="B10" s="108" t="s">
        <v>674</v>
      </c>
      <c r="C10" s="90">
        <v>163770.54999999999</v>
      </c>
      <c r="D10" s="90">
        <f>C10</f>
        <v>163770.54999999999</v>
      </c>
      <c r="E10" s="90"/>
      <c r="F10" s="122" t="str">
        <f t="shared" si="1"/>
        <v>----</v>
      </c>
    </row>
    <row r="11" spans="1:6">
      <c r="A11" s="107">
        <v>45251</v>
      </c>
      <c r="B11" s="108" t="s">
        <v>693</v>
      </c>
      <c r="C11" s="90">
        <v>387873.68</v>
      </c>
      <c r="D11" s="90">
        <f>C11</f>
        <v>387873.68</v>
      </c>
      <c r="E11" s="90"/>
      <c r="F11" s="122" t="str">
        <f t="shared" si="1"/>
        <v>----</v>
      </c>
    </row>
    <row r="12" spans="1:6">
      <c r="A12" s="107"/>
      <c r="B12" s="108"/>
      <c r="C12" s="90"/>
      <c r="D12" s="90"/>
      <c r="E12" s="90"/>
      <c r="F12" s="122" t="str">
        <f t="shared" si="1"/>
        <v>----</v>
      </c>
    </row>
    <row r="13" spans="1:6">
      <c r="A13" s="107"/>
      <c r="B13" s="108"/>
      <c r="C13" s="90"/>
      <c r="D13" s="90"/>
      <c r="E13" s="90"/>
      <c r="F13" s="122" t="str">
        <f t="shared" si="1"/>
        <v>----</v>
      </c>
    </row>
    <row r="14" spans="1:6">
      <c r="A14" s="107"/>
      <c r="B14" s="108"/>
      <c r="C14" s="90"/>
      <c r="D14" s="90"/>
      <c r="E14" s="90"/>
      <c r="F14" s="122" t="str">
        <f t="shared" si="1"/>
        <v>----</v>
      </c>
    </row>
    <row r="15" spans="1:6">
      <c r="A15" s="107"/>
      <c r="B15" s="108"/>
      <c r="C15" s="90"/>
      <c r="D15" s="90"/>
      <c r="E15" s="90"/>
      <c r="F15" s="122" t="str">
        <f t="shared" si="1"/>
        <v>----</v>
      </c>
    </row>
    <row r="16" spans="1:6">
      <c r="A16" s="107"/>
      <c r="B16" s="108"/>
      <c r="C16" s="90"/>
      <c r="D16" s="90"/>
      <c r="E16" s="90"/>
      <c r="F16" s="122" t="str">
        <f t="shared" si="1"/>
        <v>----</v>
      </c>
    </row>
    <row r="17" spans="1:6">
      <c r="A17" s="107"/>
      <c r="B17" s="108"/>
      <c r="C17" s="90"/>
      <c r="D17" s="90"/>
      <c r="E17" s="90"/>
      <c r="F17" s="122" t="str">
        <f t="shared" si="1"/>
        <v>----</v>
      </c>
    </row>
    <row r="18" spans="1:6">
      <c r="A18" s="107"/>
      <c r="B18" s="108"/>
      <c r="C18" s="90"/>
      <c r="D18" s="90"/>
      <c r="E18" s="90"/>
      <c r="F18" s="122" t="str">
        <f t="shared" si="1"/>
        <v>----</v>
      </c>
    </row>
    <row r="19" spans="1:6">
      <c r="A19" s="107"/>
      <c r="B19" s="108"/>
      <c r="C19" s="90"/>
      <c r="D19" s="90"/>
      <c r="E19" s="90"/>
      <c r="F19" s="122" t="str">
        <f t="shared" si="1"/>
        <v>----</v>
      </c>
    </row>
    <row r="20" spans="1:6">
      <c r="A20" s="123"/>
      <c r="B20" s="124"/>
      <c r="C20" s="125"/>
      <c r="D20" s="125"/>
      <c r="E20" s="125"/>
      <c r="F20" s="126" t="str">
        <f t="shared" si="1"/>
        <v>----</v>
      </c>
    </row>
    <row r="21" spans="1:6" ht="15.75" thickBot="1">
      <c r="A21" s="75"/>
      <c r="B21" s="76"/>
      <c r="C21" s="77"/>
      <c r="D21" s="77"/>
      <c r="E21" s="77"/>
      <c r="F21" s="78" t="str">
        <f>IF(ISBLANK($E21),"----",$E21-$D21)</f>
        <v>----</v>
      </c>
    </row>
    <row r="22" spans="1:6" ht="15.75" thickBot="1">
      <c r="A22" s="28"/>
      <c r="B22" s="28"/>
      <c r="C22" s="29"/>
      <c r="D22" s="29"/>
      <c r="E22" s="29"/>
      <c r="F22" s="70">
        <f>SUM(F3:F21)</f>
        <v>47229.26999999999</v>
      </c>
    </row>
  </sheetData>
  <mergeCells count="1">
    <mergeCell ref="A1:F1"/>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G17"/>
  <sheetViews>
    <sheetView workbookViewId="0">
      <selection activeCell="E3" sqref="E3:E6"/>
    </sheetView>
  </sheetViews>
  <sheetFormatPr defaultRowHeight="15"/>
  <cols>
    <col min="2" max="2" width="24.85546875" bestFit="1" customWidth="1"/>
    <col min="3" max="3" width="10.7109375" bestFit="1" customWidth="1"/>
    <col min="4" max="4" width="13.140625" customWidth="1"/>
    <col min="5" max="5" width="10.140625" bestFit="1" customWidth="1"/>
    <col min="6" max="6" width="13.140625" customWidth="1"/>
  </cols>
  <sheetData>
    <row r="1" spans="1:7" ht="15.75" thickBot="1">
      <c r="A1" s="530" t="s">
        <v>234</v>
      </c>
      <c r="B1" s="531"/>
      <c r="C1" s="531"/>
      <c r="D1" s="531"/>
      <c r="E1" s="531"/>
      <c r="F1" s="532"/>
    </row>
    <row r="2" spans="1:7" ht="46.5" thickBot="1">
      <c r="A2" s="25" t="s">
        <v>110</v>
      </c>
      <c r="B2" s="79" t="s">
        <v>111</v>
      </c>
      <c r="C2" s="80" t="s">
        <v>112</v>
      </c>
      <c r="D2" s="80" t="s">
        <v>120</v>
      </c>
      <c r="E2" s="80" t="s">
        <v>121</v>
      </c>
      <c r="F2" s="26" t="s">
        <v>113</v>
      </c>
    </row>
    <row r="3" spans="1:7">
      <c r="A3" s="71">
        <v>43942</v>
      </c>
      <c r="B3" s="72" t="s">
        <v>237</v>
      </c>
      <c r="C3" s="73">
        <v>544795.73</v>
      </c>
      <c r="D3" s="73">
        <v>353625.73</v>
      </c>
      <c r="E3" s="73">
        <v>384267.16</v>
      </c>
      <c r="F3" s="74">
        <f>IF(ISBLANK($E3),"----",$E3-$D3)</f>
        <v>30641.429999999993</v>
      </c>
      <c r="G3" t="s">
        <v>220</v>
      </c>
    </row>
    <row r="4" spans="1:7">
      <c r="A4" s="94">
        <v>43942</v>
      </c>
      <c r="B4" s="95" t="s">
        <v>238</v>
      </c>
      <c r="C4" s="87">
        <v>442371.11</v>
      </c>
      <c r="D4" s="87">
        <v>230367.62</v>
      </c>
      <c r="E4" s="87">
        <v>241534.22</v>
      </c>
      <c r="F4" s="150">
        <f>IF(ISBLANK($E4),"----",$E4-$D4)</f>
        <v>11166.600000000006</v>
      </c>
      <c r="G4" t="s">
        <v>220</v>
      </c>
    </row>
    <row r="5" spans="1:7">
      <c r="A5" s="539">
        <v>44089</v>
      </c>
      <c r="B5" s="108" t="s">
        <v>584</v>
      </c>
      <c r="C5" s="90">
        <v>635224.61</v>
      </c>
      <c r="D5" s="90">
        <v>389434.61</v>
      </c>
      <c r="E5" s="90">
        <v>391016.05</v>
      </c>
      <c r="F5" s="150">
        <f t="shared" ref="F5:F15" si="0">IF(ISBLANK($E5),"----",$E5-$D5)</f>
        <v>1581.4400000000023</v>
      </c>
      <c r="G5" t="s">
        <v>220</v>
      </c>
    </row>
    <row r="6" spans="1:7">
      <c r="A6" s="540"/>
      <c r="B6" s="108" t="s">
        <v>585</v>
      </c>
      <c r="C6" s="90">
        <v>474197.12</v>
      </c>
      <c r="D6" s="90">
        <v>290141.02</v>
      </c>
      <c r="E6" s="90">
        <v>283181.40999999997</v>
      </c>
      <c r="F6" s="150">
        <f t="shared" si="0"/>
        <v>-6959.6100000000442</v>
      </c>
      <c r="G6" t="s">
        <v>220</v>
      </c>
    </row>
    <row r="7" spans="1:7">
      <c r="A7" s="107"/>
      <c r="B7" s="108"/>
      <c r="C7" s="90"/>
      <c r="D7" s="90"/>
      <c r="E7" s="90"/>
      <c r="F7" s="150" t="str">
        <f t="shared" si="0"/>
        <v>----</v>
      </c>
    </row>
    <row r="8" spans="1:7">
      <c r="A8" s="107"/>
      <c r="B8" s="108"/>
      <c r="C8" s="90"/>
      <c r="D8" s="90"/>
      <c r="E8" s="90"/>
      <c r="F8" s="150" t="str">
        <f t="shared" si="0"/>
        <v>----</v>
      </c>
    </row>
    <row r="9" spans="1:7">
      <c r="A9" s="107"/>
      <c r="B9" s="108"/>
      <c r="C9" s="90"/>
      <c r="D9" s="90"/>
      <c r="E9" s="90"/>
      <c r="F9" s="150" t="str">
        <f t="shared" si="0"/>
        <v>----</v>
      </c>
    </row>
    <row r="10" spans="1:7">
      <c r="A10" s="107"/>
      <c r="B10" s="108"/>
      <c r="C10" s="90"/>
      <c r="D10" s="90"/>
      <c r="E10" s="90"/>
      <c r="F10" s="150" t="str">
        <f t="shared" si="0"/>
        <v>----</v>
      </c>
    </row>
    <row r="11" spans="1:7">
      <c r="A11" s="107"/>
      <c r="B11" s="108"/>
      <c r="C11" s="90"/>
      <c r="D11" s="90"/>
      <c r="E11" s="90"/>
      <c r="F11" s="150" t="str">
        <f t="shared" si="0"/>
        <v>----</v>
      </c>
    </row>
    <row r="12" spans="1:7">
      <c r="A12" s="107"/>
      <c r="B12" s="108"/>
      <c r="C12" s="90"/>
      <c r="D12" s="90"/>
      <c r="E12" s="90"/>
      <c r="F12" s="150" t="str">
        <f t="shared" si="0"/>
        <v>----</v>
      </c>
    </row>
    <row r="13" spans="1:7">
      <c r="A13" s="107"/>
      <c r="B13" s="108"/>
      <c r="C13" s="90"/>
      <c r="D13" s="90"/>
      <c r="E13" s="90"/>
      <c r="F13" s="150" t="str">
        <f t="shared" si="0"/>
        <v>----</v>
      </c>
    </row>
    <row r="14" spans="1:7">
      <c r="A14" s="107"/>
      <c r="B14" s="108"/>
      <c r="C14" s="90"/>
      <c r="D14" s="90"/>
      <c r="E14" s="90"/>
      <c r="F14" s="150" t="str">
        <f t="shared" si="0"/>
        <v>----</v>
      </c>
    </row>
    <row r="15" spans="1:7">
      <c r="A15" s="123"/>
      <c r="B15" s="124"/>
      <c r="C15" s="125"/>
      <c r="D15" s="125"/>
      <c r="E15" s="125"/>
      <c r="F15" s="150" t="str">
        <f t="shared" si="0"/>
        <v>----</v>
      </c>
    </row>
    <row r="16" spans="1:7" ht="15.75" thickBot="1">
      <c r="A16" s="75"/>
      <c r="B16" s="76"/>
      <c r="C16" s="77"/>
      <c r="D16" s="77"/>
      <c r="E16" s="77"/>
      <c r="F16" s="78" t="str">
        <f>IF(ISBLANK($E16),"----",$E16-$D16)</f>
        <v>----</v>
      </c>
    </row>
    <row r="17" spans="1:6" ht="15.75" thickBot="1">
      <c r="A17" s="28"/>
      <c r="B17" s="28"/>
      <c r="C17" s="29"/>
      <c r="D17" s="29"/>
      <c r="E17" s="29"/>
      <c r="F17" s="70">
        <f>SUM(F3:F16)</f>
        <v>36429.859999999957</v>
      </c>
    </row>
  </sheetData>
  <mergeCells count="2">
    <mergeCell ref="A1:F1"/>
    <mergeCell ref="A5:A6"/>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F7"/>
  <sheetViews>
    <sheetView workbookViewId="0">
      <selection activeCell="E4" sqref="E3:E4"/>
    </sheetView>
  </sheetViews>
  <sheetFormatPr defaultRowHeight="15"/>
  <cols>
    <col min="2" max="2" width="19.7109375" bestFit="1" customWidth="1"/>
    <col min="3" max="5" width="10.140625" bestFit="1" customWidth="1"/>
    <col min="6" max="6" width="9.42578125" bestFit="1" customWidth="1"/>
  </cols>
  <sheetData>
    <row r="1" spans="1:6" ht="15.75" thickBot="1">
      <c r="A1" s="530" t="s">
        <v>127</v>
      </c>
      <c r="B1" s="531"/>
      <c r="C1" s="531"/>
      <c r="D1" s="531"/>
      <c r="E1" s="531"/>
      <c r="F1" s="532"/>
    </row>
    <row r="2" spans="1:6" ht="57.75" thickBot="1">
      <c r="A2" s="25" t="s">
        <v>110</v>
      </c>
      <c r="B2" s="79" t="s">
        <v>111</v>
      </c>
      <c r="C2" s="80" t="s">
        <v>112</v>
      </c>
      <c r="D2" s="80" t="s">
        <v>120</v>
      </c>
      <c r="E2" s="80" t="s">
        <v>121</v>
      </c>
      <c r="F2" s="26" t="s">
        <v>113</v>
      </c>
    </row>
    <row r="3" spans="1:6">
      <c r="A3" s="71">
        <v>43970</v>
      </c>
      <c r="B3" s="72" t="s">
        <v>117</v>
      </c>
      <c r="C3" s="73">
        <v>481614.8</v>
      </c>
      <c r="D3" s="73">
        <v>290444.79999999999</v>
      </c>
      <c r="E3" s="73">
        <v>293377.2</v>
      </c>
      <c r="F3" s="74">
        <f>IF(ISBLANK($E3),"----",$E3-$D3)</f>
        <v>2932.4000000000233</v>
      </c>
    </row>
    <row r="4" spans="1:6">
      <c r="A4" s="91">
        <v>43970</v>
      </c>
      <c r="B4" s="84" t="s">
        <v>118</v>
      </c>
      <c r="C4" s="85">
        <v>228175.5</v>
      </c>
      <c r="D4" s="85">
        <v>118935.5</v>
      </c>
      <c r="E4" s="85">
        <v>127172.93</v>
      </c>
      <c r="F4" s="86">
        <f>IF(ISBLANK($E4),"----",$E4-$D4)</f>
        <v>8237.429999999993</v>
      </c>
    </row>
    <row r="5" spans="1:6">
      <c r="A5" s="92"/>
      <c r="B5" s="89"/>
      <c r="C5" s="90"/>
      <c r="D5" s="90"/>
      <c r="E5" s="90"/>
      <c r="F5" s="86" t="str">
        <f>IF(ISBLANK($E5),"----",$E5-$D5)</f>
        <v>----</v>
      </c>
    </row>
    <row r="6" spans="1:6" ht="15.75" thickBot="1">
      <c r="A6" s="93"/>
      <c r="B6" s="81"/>
      <c r="C6" s="82"/>
      <c r="D6" s="82"/>
      <c r="E6" s="82"/>
      <c r="F6" s="83" t="str">
        <f>IF(ISBLANK($E6),"----",$E6-$D6)</f>
        <v>----</v>
      </c>
    </row>
    <row r="7" spans="1:6" ht="15.75" thickBot="1">
      <c r="A7" s="28"/>
      <c r="B7" s="28"/>
      <c r="C7" s="29"/>
      <c r="D7" s="29"/>
      <c r="E7" s="29"/>
      <c r="F7" s="70">
        <f>SUM(F3:F6)</f>
        <v>11169.830000000016</v>
      </c>
    </row>
  </sheetData>
  <mergeCells count="1">
    <mergeCell ref="A1:F1"/>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G20"/>
  <sheetViews>
    <sheetView workbookViewId="0">
      <selection activeCell="G6" sqref="G6"/>
    </sheetView>
  </sheetViews>
  <sheetFormatPr defaultRowHeight="15"/>
  <cols>
    <col min="2" max="2" width="21.140625" bestFit="1" customWidth="1"/>
    <col min="3" max="3" width="11.140625" bestFit="1" customWidth="1"/>
    <col min="4" max="4" width="12.7109375" customWidth="1"/>
  </cols>
  <sheetData>
    <row r="1" spans="1:7" ht="15.75" thickBot="1">
      <c r="A1" s="530" t="s">
        <v>282</v>
      </c>
      <c r="B1" s="531"/>
      <c r="C1" s="531"/>
      <c r="D1" s="531"/>
      <c r="E1" s="531"/>
      <c r="F1" s="532"/>
    </row>
    <row r="2" spans="1:7" ht="69" thickBot="1">
      <c r="A2" s="25" t="s">
        <v>110</v>
      </c>
      <c r="B2" s="79" t="s">
        <v>111</v>
      </c>
      <c r="C2" s="80" t="s">
        <v>112</v>
      </c>
      <c r="D2" s="80" t="s">
        <v>247</v>
      </c>
      <c r="E2" s="80" t="s">
        <v>121</v>
      </c>
      <c r="F2" s="26" t="s">
        <v>113</v>
      </c>
    </row>
    <row r="3" spans="1:7">
      <c r="A3" s="71">
        <v>44124</v>
      </c>
      <c r="B3" s="72" t="s">
        <v>318</v>
      </c>
      <c r="C3" s="73">
        <v>557533</v>
      </c>
      <c r="D3" s="73">
        <v>202503</v>
      </c>
      <c r="E3" s="73"/>
      <c r="F3" s="74" t="str">
        <f>IF(ISBLANK($E3),"----",$E3-$D3)</f>
        <v>----</v>
      </c>
    </row>
    <row r="4" spans="1:7">
      <c r="A4" s="91">
        <v>44124</v>
      </c>
      <c r="B4" s="106" t="s">
        <v>319</v>
      </c>
      <c r="C4" s="85">
        <v>305110.7</v>
      </c>
      <c r="D4" s="85">
        <v>124864.7</v>
      </c>
      <c r="E4" s="85"/>
      <c r="F4" s="86" t="str">
        <f>IF(ISBLANK($E4),"----",$E4-$D4)</f>
        <v>----</v>
      </c>
    </row>
    <row r="5" spans="1:7">
      <c r="A5" s="123">
        <v>44824</v>
      </c>
      <c r="B5" s="124" t="s">
        <v>572</v>
      </c>
      <c r="C5" s="125">
        <v>5426828.7999999998</v>
      </c>
      <c r="D5" s="125">
        <v>3290000</v>
      </c>
      <c r="E5" s="125"/>
      <c r="F5" s="126" t="str">
        <f t="shared" ref="F5:F17" si="0">IF(ISBLANK($E5),"----",$E5-$D5)</f>
        <v>----</v>
      </c>
      <c r="G5" t="s">
        <v>573</v>
      </c>
    </row>
    <row r="6" spans="1:7">
      <c r="A6" s="123"/>
      <c r="B6" s="124"/>
      <c r="C6" s="125"/>
      <c r="D6" s="125"/>
      <c r="E6" s="125"/>
      <c r="F6" s="126" t="str">
        <f t="shared" si="0"/>
        <v>----</v>
      </c>
    </row>
    <row r="7" spans="1:7">
      <c r="A7" s="123"/>
      <c r="B7" s="124"/>
      <c r="C7" s="125"/>
      <c r="D7" s="125"/>
      <c r="E7" s="125"/>
      <c r="F7" s="126" t="str">
        <f t="shared" si="0"/>
        <v>----</v>
      </c>
    </row>
    <row r="8" spans="1:7">
      <c r="A8" s="123"/>
      <c r="B8" s="124"/>
      <c r="C8" s="125"/>
      <c r="D8" s="125"/>
      <c r="E8" s="125"/>
      <c r="F8" s="126" t="str">
        <f t="shared" si="0"/>
        <v>----</v>
      </c>
    </row>
    <row r="9" spans="1:7">
      <c r="A9" s="123"/>
      <c r="B9" s="124"/>
      <c r="C9" s="125"/>
      <c r="D9" s="125"/>
      <c r="E9" s="125"/>
      <c r="F9" s="126" t="str">
        <f t="shared" si="0"/>
        <v>----</v>
      </c>
    </row>
    <row r="10" spans="1:7">
      <c r="A10" s="123"/>
      <c r="B10" s="124"/>
      <c r="C10" s="125"/>
      <c r="D10" s="125"/>
      <c r="E10" s="125"/>
      <c r="F10" s="126" t="str">
        <f t="shared" si="0"/>
        <v>----</v>
      </c>
    </row>
    <row r="11" spans="1:7">
      <c r="A11" s="123"/>
      <c r="B11" s="124"/>
      <c r="C11" s="125"/>
      <c r="D11" s="125"/>
      <c r="E11" s="125"/>
      <c r="F11" s="126" t="str">
        <f t="shared" si="0"/>
        <v>----</v>
      </c>
    </row>
    <row r="12" spans="1:7">
      <c r="A12" s="123"/>
      <c r="B12" s="124"/>
      <c r="C12" s="125"/>
      <c r="D12" s="125"/>
      <c r="E12" s="125"/>
      <c r="F12" s="126" t="str">
        <f t="shared" si="0"/>
        <v>----</v>
      </c>
    </row>
    <row r="13" spans="1:7">
      <c r="A13" s="123"/>
      <c r="B13" s="124"/>
      <c r="C13" s="125"/>
      <c r="D13" s="125"/>
      <c r="E13" s="125"/>
      <c r="F13" s="126" t="str">
        <f t="shared" si="0"/>
        <v>----</v>
      </c>
    </row>
    <row r="14" spans="1:7">
      <c r="A14" s="123"/>
      <c r="B14" s="124"/>
      <c r="C14" s="125"/>
      <c r="D14" s="125"/>
      <c r="E14" s="125"/>
      <c r="F14" s="126" t="str">
        <f t="shared" si="0"/>
        <v>----</v>
      </c>
    </row>
    <row r="15" spans="1:7">
      <c r="A15" s="123"/>
      <c r="B15" s="124"/>
      <c r="C15" s="125"/>
      <c r="D15" s="125"/>
      <c r="E15" s="125"/>
      <c r="F15" s="126" t="str">
        <f t="shared" si="0"/>
        <v>----</v>
      </c>
    </row>
    <row r="16" spans="1:7">
      <c r="A16" s="123"/>
      <c r="B16" s="124"/>
      <c r="C16" s="125"/>
      <c r="D16" s="125"/>
      <c r="E16" s="125"/>
      <c r="F16" s="126" t="str">
        <f t="shared" si="0"/>
        <v>----</v>
      </c>
    </row>
    <row r="17" spans="1:6">
      <c r="A17" s="123"/>
      <c r="B17" s="124"/>
      <c r="C17" s="125"/>
      <c r="D17" s="125"/>
      <c r="E17" s="125"/>
      <c r="F17" s="126" t="str">
        <f t="shared" si="0"/>
        <v>----</v>
      </c>
    </row>
    <row r="18" spans="1:6">
      <c r="A18" s="123"/>
      <c r="B18" s="124"/>
      <c r="C18" s="125"/>
      <c r="D18" s="125"/>
      <c r="E18" s="125"/>
      <c r="F18" s="126" t="str">
        <f>IF(ISBLANK($E18),"----",$E18-$D18)</f>
        <v>----</v>
      </c>
    </row>
    <row r="19" spans="1:6" ht="15.75" thickBot="1">
      <c r="A19" s="75"/>
      <c r="B19" s="76"/>
      <c r="C19" s="77"/>
      <c r="D19" s="77"/>
      <c r="E19" s="77"/>
      <c r="F19" s="78" t="str">
        <f>IF(ISBLANK($E19),"----",$E19-$D19)</f>
        <v>----</v>
      </c>
    </row>
    <row r="20" spans="1:6" ht="15.75" thickBot="1">
      <c r="A20" s="28"/>
      <c r="B20" s="28"/>
      <c r="C20" s="29"/>
      <c r="D20" s="29"/>
      <c r="E20" s="29"/>
      <c r="F20" s="70">
        <f>SUM(F3:F19)</f>
        <v>0</v>
      </c>
    </row>
  </sheetData>
  <mergeCells count="1">
    <mergeCell ref="A1:F1"/>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F20"/>
  <sheetViews>
    <sheetView workbookViewId="0">
      <selection activeCell="E5" sqref="E3:E5"/>
    </sheetView>
  </sheetViews>
  <sheetFormatPr defaultRowHeight="15"/>
  <cols>
    <col min="2" max="2" width="22.85546875" bestFit="1" customWidth="1"/>
    <col min="3" max="3" width="10.7109375" bestFit="1" customWidth="1"/>
    <col min="4" max="4" width="11.140625" customWidth="1"/>
    <col min="5" max="5" width="10.140625" customWidth="1"/>
    <col min="6" max="6" width="14" customWidth="1"/>
  </cols>
  <sheetData>
    <row r="1" spans="1:6" ht="15.75" thickBot="1">
      <c r="A1" s="530" t="s">
        <v>156</v>
      </c>
      <c r="B1" s="531"/>
      <c r="C1" s="531"/>
      <c r="D1" s="531"/>
      <c r="E1" s="531"/>
      <c r="F1" s="532"/>
    </row>
    <row r="2" spans="1:6" ht="57.75" thickBot="1">
      <c r="A2" s="25" t="s">
        <v>110</v>
      </c>
      <c r="B2" s="79" t="s">
        <v>111</v>
      </c>
      <c r="C2" s="80" t="s">
        <v>112</v>
      </c>
      <c r="D2" s="80" t="s">
        <v>120</v>
      </c>
      <c r="E2" s="80" t="s">
        <v>121</v>
      </c>
      <c r="F2" s="26" t="s">
        <v>113</v>
      </c>
    </row>
    <row r="3" spans="1:6">
      <c r="A3" s="71">
        <v>43816</v>
      </c>
      <c r="B3" s="72" t="s">
        <v>165</v>
      </c>
      <c r="C3" s="73">
        <v>578425.56000000006</v>
      </c>
      <c r="D3" s="73">
        <f>C3</f>
        <v>578425.56000000006</v>
      </c>
      <c r="E3" s="73">
        <v>559893.65</v>
      </c>
      <c r="F3" s="74">
        <f>IF(ISBLANK($E3),"----",$E3-$D3)</f>
        <v>-18531.910000000033</v>
      </c>
    </row>
    <row r="4" spans="1:6">
      <c r="A4" s="134">
        <v>44153</v>
      </c>
      <c r="B4" s="131" t="s">
        <v>339</v>
      </c>
      <c r="C4" s="136">
        <v>480183.61</v>
      </c>
      <c r="D4" s="136">
        <v>179773.59</v>
      </c>
      <c r="E4" s="136">
        <v>188943.94</v>
      </c>
      <c r="F4" s="133">
        <f t="shared" ref="F4:F17" si="0">IF(ISBLANK($E4),"----",$E4-$D4)</f>
        <v>9170.3500000000058</v>
      </c>
    </row>
    <row r="5" spans="1:6">
      <c r="A5" s="127">
        <v>44880</v>
      </c>
      <c r="B5" s="128" t="s">
        <v>603</v>
      </c>
      <c r="C5" s="129">
        <v>575513.61</v>
      </c>
      <c r="D5" s="129">
        <f>C5</f>
        <v>575513.61</v>
      </c>
      <c r="E5" s="129"/>
      <c r="F5" s="133" t="str">
        <f t="shared" si="0"/>
        <v>----</v>
      </c>
    </row>
    <row r="6" spans="1:6">
      <c r="A6" s="127"/>
      <c r="B6" s="128"/>
      <c r="C6" s="129"/>
      <c r="D6" s="129"/>
      <c r="E6" s="129"/>
      <c r="F6" s="133" t="str">
        <f t="shared" si="0"/>
        <v>----</v>
      </c>
    </row>
    <row r="7" spans="1:6">
      <c r="A7" s="127"/>
      <c r="B7" s="128"/>
      <c r="C7" s="129"/>
      <c r="D7" s="129"/>
      <c r="E7" s="129"/>
      <c r="F7" s="133" t="str">
        <f t="shared" si="0"/>
        <v>----</v>
      </c>
    </row>
    <row r="8" spans="1:6">
      <c r="A8" s="127"/>
      <c r="B8" s="128"/>
      <c r="C8" s="129"/>
      <c r="D8" s="129"/>
      <c r="E8" s="129"/>
      <c r="F8" s="133" t="str">
        <f t="shared" si="0"/>
        <v>----</v>
      </c>
    </row>
    <row r="9" spans="1:6">
      <c r="A9" s="127"/>
      <c r="B9" s="128"/>
      <c r="C9" s="129"/>
      <c r="D9" s="129"/>
      <c r="E9" s="129"/>
      <c r="F9" s="133" t="str">
        <f t="shared" si="0"/>
        <v>----</v>
      </c>
    </row>
    <row r="10" spans="1:6">
      <c r="A10" s="127"/>
      <c r="B10" s="128"/>
      <c r="C10" s="129"/>
      <c r="D10" s="129"/>
      <c r="E10" s="129"/>
      <c r="F10" s="133" t="str">
        <f t="shared" si="0"/>
        <v>----</v>
      </c>
    </row>
    <row r="11" spans="1:6">
      <c r="A11" s="127"/>
      <c r="B11" s="128"/>
      <c r="C11" s="129"/>
      <c r="D11" s="129"/>
      <c r="E11" s="129"/>
      <c r="F11" s="133" t="str">
        <f t="shared" si="0"/>
        <v>----</v>
      </c>
    </row>
    <row r="12" spans="1:6">
      <c r="A12" s="127"/>
      <c r="B12" s="128"/>
      <c r="C12" s="129"/>
      <c r="D12" s="129"/>
      <c r="E12" s="129"/>
      <c r="F12" s="133" t="str">
        <f t="shared" si="0"/>
        <v>----</v>
      </c>
    </row>
    <row r="13" spans="1:6">
      <c r="A13" s="127"/>
      <c r="B13" s="128"/>
      <c r="C13" s="129"/>
      <c r="D13" s="129"/>
      <c r="E13" s="129"/>
      <c r="F13" s="133" t="str">
        <f t="shared" si="0"/>
        <v>----</v>
      </c>
    </row>
    <row r="14" spans="1:6">
      <c r="A14" s="127"/>
      <c r="B14" s="128"/>
      <c r="C14" s="129"/>
      <c r="D14" s="129"/>
      <c r="E14" s="129"/>
      <c r="F14" s="133" t="str">
        <f t="shared" si="0"/>
        <v>----</v>
      </c>
    </row>
    <row r="15" spans="1:6">
      <c r="A15" s="127"/>
      <c r="B15" s="128"/>
      <c r="C15" s="129"/>
      <c r="D15" s="129"/>
      <c r="E15" s="129"/>
      <c r="F15" s="133" t="str">
        <f t="shared" si="0"/>
        <v>----</v>
      </c>
    </row>
    <row r="16" spans="1:6">
      <c r="A16" s="127"/>
      <c r="B16" s="128"/>
      <c r="C16" s="129"/>
      <c r="D16" s="129"/>
      <c r="E16" s="129"/>
      <c r="F16" s="133" t="str">
        <f t="shared" si="0"/>
        <v>----</v>
      </c>
    </row>
    <row r="17" spans="1:6">
      <c r="A17" s="127"/>
      <c r="B17" s="128"/>
      <c r="C17" s="129"/>
      <c r="D17" s="129"/>
      <c r="E17" s="129"/>
      <c r="F17" s="133" t="str">
        <f t="shared" si="0"/>
        <v>----</v>
      </c>
    </row>
    <row r="18" spans="1:6">
      <c r="A18" s="130"/>
      <c r="C18" s="132"/>
      <c r="D18" s="132"/>
      <c r="E18" s="132"/>
      <c r="F18" s="133" t="str">
        <f>IF(ISBLANK($E18),"----",$E18-$D18)</f>
        <v>----</v>
      </c>
    </row>
    <row r="19" spans="1:6" ht="15.75" thickBot="1">
      <c r="A19" s="75"/>
      <c r="B19" s="76"/>
      <c r="C19" s="77"/>
      <c r="D19" s="77"/>
      <c r="E19" s="77"/>
      <c r="F19" s="78" t="str">
        <f>IF(ISBLANK($E19),"----",$E19-$D19)</f>
        <v>----</v>
      </c>
    </row>
    <row r="20" spans="1:6" ht="15.75" thickBot="1">
      <c r="A20" s="28"/>
      <c r="B20" s="28"/>
      <c r="C20" s="29"/>
      <c r="D20" s="29"/>
      <c r="E20" s="29"/>
      <c r="F20" s="70">
        <f>SUM(F3:F19)</f>
        <v>-9361.5600000000268</v>
      </c>
    </row>
  </sheetData>
  <mergeCells count="1">
    <mergeCell ref="A1:F1"/>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H27"/>
  <sheetViews>
    <sheetView workbookViewId="0">
      <selection activeCell="E3" sqref="E3"/>
    </sheetView>
  </sheetViews>
  <sheetFormatPr defaultRowHeight="15"/>
  <cols>
    <col min="2" max="2" width="22.28515625" bestFit="1" customWidth="1"/>
    <col min="3" max="3" width="12" bestFit="1" customWidth="1"/>
    <col min="4" max="4" width="13.42578125" customWidth="1"/>
    <col min="5" max="5" width="11.42578125" bestFit="1" customWidth="1"/>
    <col min="6" max="6" width="11.85546875" customWidth="1"/>
  </cols>
  <sheetData>
    <row r="1" spans="1:8" ht="15.75" thickBot="1">
      <c r="A1" s="530" t="s">
        <v>128</v>
      </c>
      <c r="B1" s="531"/>
      <c r="C1" s="531"/>
      <c r="D1" s="531"/>
      <c r="E1" s="531"/>
      <c r="F1" s="532"/>
    </row>
    <row r="2" spans="1:8" ht="57.75" thickBot="1">
      <c r="A2" s="25" t="s">
        <v>110</v>
      </c>
      <c r="B2" s="79" t="s">
        <v>111</v>
      </c>
      <c r="C2" s="80" t="s">
        <v>112</v>
      </c>
      <c r="D2" s="80" t="s">
        <v>120</v>
      </c>
      <c r="E2" s="80" t="s">
        <v>121</v>
      </c>
      <c r="F2" s="26" t="s">
        <v>113</v>
      </c>
    </row>
    <row r="3" spans="1:8">
      <c r="A3" s="71">
        <v>43970</v>
      </c>
      <c r="B3" s="72" t="s">
        <v>119</v>
      </c>
      <c r="C3" s="73">
        <v>1878163.05</v>
      </c>
      <c r="D3" s="73">
        <f>C3</f>
        <v>1878163.05</v>
      </c>
      <c r="E3" s="73">
        <v>1894818.47</v>
      </c>
      <c r="F3" s="74">
        <f t="shared" ref="F3:F10" si="0">IF(ISBLANK($E3),"----",$E3-$D3)</f>
        <v>16655.419999999925</v>
      </c>
    </row>
    <row r="4" spans="1:8">
      <c r="A4" s="91">
        <v>43907</v>
      </c>
      <c r="B4" s="106" t="s">
        <v>229</v>
      </c>
      <c r="C4" s="85">
        <v>477385.1</v>
      </c>
      <c r="D4" s="85">
        <f>C4</f>
        <v>477385.1</v>
      </c>
      <c r="E4" s="85"/>
      <c r="F4" s="86" t="str">
        <f t="shared" si="0"/>
        <v>----</v>
      </c>
    </row>
    <row r="5" spans="1:8">
      <c r="A5" s="94">
        <v>44124</v>
      </c>
      <c r="B5" s="95" t="s">
        <v>308</v>
      </c>
      <c r="C5" s="87">
        <f>1808794.7/2</f>
        <v>904397.35</v>
      </c>
      <c r="D5" s="87">
        <f>361758.94/2</f>
        <v>180879.47</v>
      </c>
      <c r="E5" s="87"/>
      <c r="F5" s="88" t="str">
        <f t="shared" si="0"/>
        <v>----</v>
      </c>
      <c r="G5" t="s">
        <v>323</v>
      </c>
    </row>
    <row r="6" spans="1:8">
      <c r="A6" s="107">
        <v>44362</v>
      </c>
      <c r="B6" s="108" t="s">
        <v>435</v>
      </c>
      <c r="C6" s="90">
        <v>481912.75</v>
      </c>
      <c r="D6" s="90">
        <f>C6</f>
        <v>481912.75</v>
      </c>
      <c r="E6" s="90"/>
      <c r="F6" s="86" t="str">
        <f t="shared" si="0"/>
        <v>----</v>
      </c>
    </row>
    <row r="7" spans="1:8">
      <c r="A7" s="107">
        <v>44425</v>
      </c>
      <c r="B7" s="108" t="s">
        <v>453</v>
      </c>
      <c r="C7" s="90">
        <v>594695.03</v>
      </c>
      <c r="D7" s="90">
        <f>C7</f>
        <v>594695.03</v>
      </c>
      <c r="E7" s="90"/>
      <c r="F7" s="86" t="str">
        <f t="shared" si="0"/>
        <v>----</v>
      </c>
    </row>
    <row r="8" spans="1:8">
      <c r="A8" s="140">
        <v>44516</v>
      </c>
      <c r="B8" s="124" t="s">
        <v>473</v>
      </c>
      <c r="C8" s="240">
        <v>925595.9</v>
      </c>
      <c r="D8" s="240">
        <f>C8</f>
        <v>925595.9</v>
      </c>
      <c r="E8" s="240"/>
      <c r="F8" s="86" t="str">
        <f t="shared" si="0"/>
        <v>----</v>
      </c>
    </row>
    <row r="9" spans="1:8">
      <c r="A9" s="140">
        <v>44789</v>
      </c>
      <c r="B9" s="239" t="s">
        <v>559</v>
      </c>
      <c r="C9" s="240">
        <v>1599632.01</v>
      </c>
      <c r="D9" s="240">
        <f>C9</f>
        <v>1599632.01</v>
      </c>
      <c r="E9" s="240"/>
      <c r="F9" s="86" t="str">
        <f t="shared" si="0"/>
        <v>----</v>
      </c>
      <c r="H9" t="s">
        <v>560</v>
      </c>
    </row>
    <row r="10" spans="1:8">
      <c r="A10" s="140">
        <v>44852</v>
      </c>
      <c r="B10" s="239" t="s">
        <v>582</v>
      </c>
      <c r="C10" s="240">
        <v>685341.17</v>
      </c>
      <c r="D10" s="240">
        <f>C10</f>
        <v>685341.17</v>
      </c>
      <c r="E10" s="240"/>
      <c r="F10" s="86" t="str">
        <f t="shared" si="0"/>
        <v>----</v>
      </c>
    </row>
    <row r="11" spans="1:8">
      <c r="A11" s="140"/>
      <c r="B11" s="239"/>
      <c r="C11" s="240"/>
      <c r="D11" s="240"/>
      <c r="E11" s="240"/>
      <c r="F11" s="86"/>
    </row>
    <row r="12" spans="1:8">
      <c r="A12" s="140"/>
      <c r="B12" s="239"/>
      <c r="C12" s="240"/>
      <c r="D12" s="240"/>
      <c r="E12" s="240"/>
      <c r="F12" s="86"/>
    </row>
    <row r="13" spans="1:8">
      <c r="A13" s="140"/>
      <c r="B13" s="239"/>
      <c r="C13" s="240"/>
      <c r="D13" s="240"/>
      <c r="E13" s="240"/>
      <c r="F13" s="86"/>
    </row>
    <row r="14" spans="1:8">
      <c r="A14" s="140"/>
      <c r="B14" s="239"/>
      <c r="C14" s="240"/>
      <c r="D14" s="240"/>
      <c r="E14" s="240"/>
      <c r="F14" s="86"/>
    </row>
    <row r="15" spans="1:8">
      <c r="A15" s="140"/>
      <c r="B15" s="239"/>
      <c r="C15" s="240"/>
      <c r="D15" s="240"/>
      <c r="E15" s="240"/>
      <c r="F15" s="86"/>
    </row>
    <row r="16" spans="1:8">
      <c r="A16" s="140"/>
      <c r="B16" s="239"/>
      <c r="C16" s="240"/>
      <c r="D16" s="240"/>
      <c r="E16" s="240"/>
      <c r="F16" s="86"/>
    </row>
    <row r="17" spans="1:6">
      <c r="A17" s="140"/>
      <c r="B17" s="239"/>
      <c r="C17" s="240"/>
      <c r="D17" s="240"/>
      <c r="E17" s="240"/>
      <c r="F17" s="86"/>
    </row>
    <row r="18" spans="1:6">
      <c r="A18" s="140"/>
      <c r="B18" s="239"/>
      <c r="C18" s="240"/>
      <c r="D18" s="240"/>
      <c r="E18" s="240"/>
      <c r="F18" s="86"/>
    </row>
    <row r="19" spans="1:6">
      <c r="A19" s="140"/>
      <c r="B19" s="239"/>
      <c r="C19" s="240"/>
      <c r="D19" s="240"/>
      <c r="E19" s="240"/>
      <c r="F19" s="86"/>
    </row>
    <row r="20" spans="1:6">
      <c r="A20" s="140"/>
      <c r="B20" s="239"/>
      <c r="C20" s="240"/>
      <c r="D20" s="240"/>
      <c r="E20" s="240"/>
      <c r="F20" s="86"/>
    </row>
    <row r="21" spans="1:6">
      <c r="A21" s="140"/>
      <c r="B21" s="239"/>
      <c r="C21" s="240"/>
      <c r="D21" s="240"/>
      <c r="E21" s="240"/>
      <c r="F21" s="86"/>
    </row>
    <row r="22" spans="1:6">
      <c r="A22" s="140"/>
      <c r="B22" s="239"/>
      <c r="C22" s="240"/>
      <c r="D22" s="240"/>
      <c r="E22" s="240"/>
      <c r="F22" s="86"/>
    </row>
    <row r="23" spans="1:6">
      <c r="A23" s="140"/>
      <c r="B23" s="239"/>
      <c r="C23" s="240"/>
      <c r="D23" s="240"/>
      <c r="E23" s="240"/>
      <c r="F23" s="86"/>
    </row>
    <row r="24" spans="1:6">
      <c r="A24" s="140"/>
      <c r="B24" s="239"/>
      <c r="C24" s="240"/>
      <c r="D24" s="240"/>
      <c r="E24" s="240"/>
      <c r="F24" s="86"/>
    </row>
    <row r="25" spans="1:6">
      <c r="A25" s="123"/>
      <c r="B25" s="124"/>
      <c r="C25" s="125"/>
      <c r="D25" s="125"/>
      <c r="E25" s="125"/>
      <c r="F25" s="86" t="str">
        <f>IF(ISBLANK($E25),"----",$E25-$D25)</f>
        <v>----</v>
      </c>
    </row>
    <row r="26" spans="1:6" ht="15.75" thickBot="1">
      <c r="A26" s="75"/>
      <c r="B26" s="76"/>
      <c r="C26" s="77"/>
      <c r="D26" s="77"/>
      <c r="E26" s="77"/>
      <c r="F26" s="78" t="str">
        <f>IF(ISBLANK($E26),"----",$E26-$D26)</f>
        <v>----</v>
      </c>
    </row>
    <row r="27" spans="1:6" ht="15.75" thickBot="1">
      <c r="A27" s="28"/>
      <c r="B27" s="28"/>
      <c r="C27" s="29"/>
      <c r="D27" s="29"/>
      <c r="E27" s="29"/>
      <c r="F27" s="70">
        <f>SUM(F3:F26)</f>
        <v>16655.419999999925</v>
      </c>
    </row>
  </sheetData>
  <mergeCells count="1">
    <mergeCell ref="A1:F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F7"/>
  <sheetViews>
    <sheetView workbookViewId="0">
      <selection sqref="A1:F7"/>
    </sheetView>
  </sheetViews>
  <sheetFormatPr defaultRowHeight="15"/>
  <sheetData>
    <row r="1" spans="1:6" ht="15.75" thickBot="1">
      <c r="A1" s="530" t="s">
        <v>283</v>
      </c>
      <c r="B1" s="531"/>
      <c r="C1" s="531"/>
      <c r="D1" s="531"/>
      <c r="E1" s="531"/>
      <c r="F1" s="532"/>
    </row>
    <row r="2" spans="1:6" ht="69" thickBot="1">
      <c r="A2" s="25" t="s">
        <v>110</v>
      </c>
      <c r="B2" s="79" t="s">
        <v>111</v>
      </c>
      <c r="C2" s="80" t="s">
        <v>112</v>
      </c>
      <c r="D2" s="80" t="s">
        <v>120</v>
      </c>
      <c r="E2" s="80" t="s">
        <v>121</v>
      </c>
      <c r="F2" s="26" t="s">
        <v>113</v>
      </c>
    </row>
    <row r="3" spans="1:6">
      <c r="A3" s="71"/>
      <c r="B3" s="72"/>
      <c r="C3" s="73"/>
      <c r="D3" s="73"/>
      <c r="E3" s="73"/>
      <c r="F3" s="74" t="str">
        <f>IF(ISBLANK($E3),"----",$E3-$D3)</f>
        <v>----</v>
      </c>
    </row>
    <row r="4" spans="1:6">
      <c r="A4" s="91"/>
      <c r="B4" s="106"/>
      <c r="C4" s="85"/>
      <c r="D4" s="85"/>
      <c r="E4" s="85"/>
      <c r="F4" s="86" t="str">
        <f>IF(ISBLANK($E4),"----",$E4-$D4)</f>
        <v>----</v>
      </c>
    </row>
    <row r="5" spans="1:6">
      <c r="A5" s="94"/>
      <c r="B5" s="95"/>
      <c r="C5" s="87"/>
      <c r="D5" s="87"/>
      <c r="E5" s="87"/>
      <c r="F5" s="88" t="str">
        <f>IF(ISBLANK($E5),"----",$E5-$D5)</f>
        <v>----</v>
      </c>
    </row>
    <row r="6" spans="1:6" ht="15.75" thickBot="1">
      <c r="A6" s="75"/>
      <c r="B6" s="76"/>
      <c r="C6" s="77"/>
      <c r="D6" s="77"/>
      <c r="E6" s="77"/>
      <c r="F6" s="78" t="str">
        <f>IF(ISBLANK($E6),"----",$E6-$D6)</f>
        <v>----</v>
      </c>
    </row>
    <row r="7" spans="1:6" ht="15.75" thickBot="1">
      <c r="A7" s="28"/>
      <c r="B7" s="28"/>
      <c r="C7" s="29"/>
      <c r="D7" s="29"/>
      <c r="E7" s="29"/>
      <c r="F7" s="70">
        <f>SUM(F3:F6)</f>
        <v>0</v>
      </c>
    </row>
  </sheetData>
  <mergeCells count="1">
    <mergeCell ref="A1:F1"/>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F24"/>
  <sheetViews>
    <sheetView workbookViewId="0">
      <selection activeCell="E7" sqref="E3:E7"/>
    </sheetView>
  </sheetViews>
  <sheetFormatPr defaultRowHeight="15"/>
  <cols>
    <col min="2" max="2" width="21.42578125" bestFit="1" customWidth="1"/>
    <col min="3" max="5" width="10.140625" bestFit="1" customWidth="1"/>
    <col min="6" max="6" width="9.42578125" bestFit="1" customWidth="1"/>
  </cols>
  <sheetData>
    <row r="1" spans="1:6" ht="15.75" thickBot="1">
      <c r="A1" s="530" t="s">
        <v>284</v>
      </c>
      <c r="B1" s="531"/>
      <c r="C1" s="531"/>
      <c r="D1" s="531"/>
      <c r="E1" s="531"/>
      <c r="F1" s="532"/>
    </row>
    <row r="2" spans="1:6" ht="57.75" thickBot="1">
      <c r="A2" s="25" t="s">
        <v>110</v>
      </c>
      <c r="B2" s="79" t="s">
        <v>111</v>
      </c>
      <c r="C2" s="80" t="s">
        <v>112</v>
      </c>
      <c r="D2" s="80" t="s">
        <v>120</v>
      </c>
      <c r="E2" s="80" t="s">
        <v>121</v>
      </c>
      <c r="F2" s="26" t="s">
        <v>113</v>
      </c>
    </row>
    <row r="3" spans="1:6">
      <c r="A3" s="71">
        <v>44033</v>
      </c>
      <c r="B3" s="72" t="s">
        <v>299</v>
      </c>
      <c r="C3" s="73">
        <v>480134.27</v>
      </c>
      <c r="D3" s="73">
        <f>C3</f>
        <v>480134.27</v>
      </c>
      <c r="E3" s="73">
        <v>492254.22</v>
      </c>
      <c r="F3" s="74">
        <f>IF(ISBLANK($E3),"----",$E3-$D3)</f>
        <v>12119.949999999953</v>
      </c>
    </row>
    <row r="4" spans="1:6">
      <c r="A4" s="91">
        <v>44362</v>
      </c>
      <c r="B4" s="106" t="s">
        <v>436</v>
      </c>
      <c r="C4" s="85">
        <v>278138.5</v>
      </c>
      <c r="D4" s="85">
        <f>C4</f>
        <v>278138.5</v>
      </c>
      <c r="E4" s="85">
        <v>295152.18</v>
      </c>
      <c r="F4" s="86">
        <f>IF(ISBLANK($E4),"----",$E4-$D4)</f>
        <v>17013.679999999993</v>
      </c>
    </row>
    <row r="5" spans="1:6">
      <c r="A5" s="107"/>
      <c r="B5" s="108"/>
      <c r="C5" s="90"/>
      <c r="D5" s="90"/>
      <c r="E5" s="90"/>
      <c r="F5" s="122" t="str">
        <f t="shared" ref="F5:F22" si="0">IF(ISBLANK($E5),"----",$E5-$D5)</f>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23"/>
      <c r="B22" s="124"/>
      <c r="C22" s="125"/>
      <c r="D22" s="125"/>
      <c r="E22" s="125"/>
      <c r="F22" s="126" t="str">
        <f t="shared" si="0"/>
        <v>----</v>
      </c>
    </row>
    <row r="23" spans="1:6" ht="15.75" thickBot="1">
      <c r="A23" s="75"/>
      <c r="B23" s="76"/>
      <c r="C23" s="77"/>
      <c r="D23" s="77"/>
      <c r="E23" s="77"/>
      <c r="F23" s="78" t="str">
        <f>IF(ISBLANK($E23),"----",$E23-$D23)</f>
        <v>----</v>
      </c>
    </row>
    <row r="24" spans="1:6" ht="15.75" thickBot="1">
      <c r="A24" s="28"/>
      <c r="B24" s="28"/>
      <c r="C24" s="29"/>
      <c r="D24" s="29"/>
      <c r="E24" s="29"/>
      <c r="F24" s="70">
        <f>SUM(F3:F23)</f>
        <v>29133.629999999946</v>
      </c>
    </row>
  </sheetData>
  <mergeCells count="1">
    <mergeCell ref="A1:F1"/>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F23"/>
  <sheetViews>
    <sheetView workbookViewId="0">
      <selection activeCell="H19" sqref="H19"/>
    </sheetView>
  </sheetViews>
  <sheetFormatPr defaultRowHeight="15"/>
  <cols>
    <col min="2" max="2" width="21.28515625" bestFit="1" customWidth="1"/>
    <col min="3" max="3" width="12" bestFit="1" customWidth="1"/>
    <col min="4" max="4" width="11.42578125" customWidth="1"/>
    <col min="6" max="6" width="12.28515625" customWidth="1"/>
  </cols>
  <sheetData>
    <row r="1" spans="1:6" ht="15.75" thickBot="1">
      <c r="A1" s="530" t="s">
        <v>157</v>
      </c>
      <c r="B1" s="531"/>
      <c r="C1" s="531"/>
      <c r="D1" s="531"/>
      <c r="E1" s="531"/>
      <c r="F1" s="532"/>
    </row>
    <row r="2" spans="1:6" ht="57.75" thickBot="1">
      <c r="A2" s="25" t="s">
        <v>110</v>
      </c>
      <c r="B2" s="79" t="s">
        <v>111</v>
      </c>
      <c r="C2" s="80" t="s">
        <v>112</v>
      </c>
      <c r="D2" s="80" t="s">
        <v>120</v>
      </c>
      <c r="E2" s="80" t="s">
        <v>121</v>
      </c>
      <c r="F2" s="26" t="s">
        <v>113</v>
      </c>
    </row>
    <row r="3" spans="1:6">
      <c r="A3" s="71">
        <v>43816</v>
      </c>
      <c r="B3" s="72" t="s">
        <v>164</v>
      </c>
      <c r="C3" s="73">
        <v>669021.30000000005</v>
      </c>
      <c r="D3" s="73">
        <f>C3</f>
        <v>669021.30000000005</v>
      </c>
      <c r="E3" s="73"/>
      <c r="F3" s="74" t="str">
        <f>IF(ISBLANK($E3),"----",$E3-$D3)</f>
        <v>----</v>
      </c>
    </row>
    <row r="4" spans="1:6">
      <c r="A4" s="91">
        <v>44089</v>
      </c>
      <c r="B4" s="106" t="s">
        <v>307</v>
      </c>
      <c r="C4" s="85">
        <v>240766.5</v>
      </c>
      <c r="D4" s="85">
        <f>C4</f>
        <v>240766.5</v>
      </c>
      <c r="E4" s="85"/>
      <c r="F4" s="86" t="str">
        <f>IF(ISBLANK($E4),"----",$E4-$D4)</f>
        <v>----</v>
      </c>
    </row>
    <row r="5" spans="1:6">
      <c r="A5" s="107">
        <v>44124</v>
      </c>
      <c r="B5" s="108" t="s">
        <v>320</v>
      </c>
      <c r="C5" s="90">
        <v>1082462.76</v>
      </c>
      <c r="D5" s="90">
        <v>590882.76</v>
      </c>
      <c r="E5" s="90"/>
      <c r="F5" s="86" t="str">
        <f t="shared" ref="F5:F21" si="0">IF(ISBLANK($E5),"----",$E5-$D5)</f>
        <v>----</v>
      </c>
    </row>
    <row r="6" spans="1:6">
      <c r="A6" s="107">
        <v>44915</v>
      </c>
      <c r="B6" s="108" t="s">
        <v>636</v>
      </c>
      <c r="C6" s="90">
        <v>586832.5</v>
      </c>
      <c r="D6" s="90">
        <f>C6</f>
        <v>586832.5</v>
      </c>
      <c r="E6" s="90"/>
      <c r="F6" s="86" t="str">
        <f t="shared" si="0"/>
        <v>----</v>
      </c>
    </row>
    <row r="7" spans="1:6">
      <c r="A7" s="107"/>
      <c r="B7" s="108"/>
      <c r="C7" s="90"/>
      <c r="D7" s="90"/>
      <c r="E7" s="90"/>
      <c r="F7" s="86" t="str">
        <f t="shared" si="0"/>
        <v>----</v>
      </c>
    </row>
    <row r="8" spans="1:6">
      <c r="A8" s="107"/>
      <c r="B8" s="108"/>
      <c r="C8" s="90"/>
      <c r="D8" s="90"/>
      <c r="E8" s="90"/>
      <c r="F8" s="86" t="str">
        <f t="shared" si="0"/>
        <v>----</v>
      </c>
    </row>
    <row r="9" spans="1:6">
      <c r="A9" s="107"/>
      <c r="B9" s="108"/>
      <c r="C9" s="90"/>
      <c r="D9" s="90"/>
      <c r="E9" s="90"/>
      <c r="F9" s="86" t="str">
        <f t="shared" si="0"/>
        <v>----</v>
      </c>
    </row>
    <row r="10" spans="1:6">
      <c r="A10" s="107"/>
      <c r="B10" s="108"/>
      <c r="C10" s="90"/>
      <c r="D10" s="90"/>
      <c r="E10" s="90"/>
      <c r="F10" s="86" t="str">
        <f t="shared" si="0"/>
        <v>----</v>
      </c>
    </row>
    <row r="11" spans="1:6">
      <c r="A11" s="107"/>
      <c r="B11" s="108"/>
      <c r="C11" s="90"/>
      <c r="D11" s="90"/>
      <c r="E11" s="90"/>
      <c r="F11" s="86" t="str">
        <f t="shared" si="0"/>
        <v>----</v>
      </c>
    </row>
    <row r="12" spans="1:6">
      <c r="A12" s="107"/>
      <c r="B12" s="108"/>
      <c r="C12" s="90"/>
      <c r="D12" s="90"/>
      <c r="E12" s="90"/>
      <c r="F12" s="86" t="str">
        <f t="shared" si="0"/>
        <v>----</v>
      </c>
    </row>
    <row r="13" spans="1:6">
      <c r="A13" s="107"/>
      <c r="B13" s="108"/>
      <c r="C13" s="90"/>
      <c r="D13" s="90"/>
      <c r="E13" s="90"/>
      <c r="F13" s="86" t="str">
        <f t="shared" si="0"/>
        <v>----</v>
      </c>
    </row>
    <row r="14" spans="1:6">
      <c r="A14" s="107"/>
      <c r="B14" s="108"/>
      <c r="C14" s="90"/>
      <c r="D14" s="90"/>
      <c r="E14" s="90"/>
      <c r="F14" s="86" t="str">
        <f t="shared" si="0"/>
        <v>----</v>
      </c>
    </row>
    <row r="15" spans="1:6">
      <c r="A15" s="107"/>
      <c r="B15" s="108"/>
      <c r="C15" s="90"/>
      <c r="D15" s="90"/>
      <c r="E15" s="90"/>
      <c r="F15" s="86" t="str">
        <f t="shared" si="0"/>
        <v>----</v>
      </c>
    </row>
    <row r="16" spans="1:6">
      <c r="A16" s="107"/>
      <c r="B16" s="108"/>
      <c r="C16" s="90"/>
      <c r="D16" s="90"/>
      <c r="E16" s="90"/>
      <c r="F16" s="86" t="str">
        <f t="shared" si="0"/>
        <v>----</v>
      </c>
    </row>
    <row r="17" spans="1:6">
      <c r="A17" s="107"/>
      <c r="B17" s="108"/>
      <c r="C17" s="90"/>
      <c r="D17" s="90"/>
      <c r="E17" s="90"/>
      <c r="F17" s="86" t="str">
        <f t="shared" si="0"/>
        <v>----</v>
      </c>
    </row>
    <row r="18" spans="1:6">
      <c r="A18" s="107"/>
      <c r="B18" s="108"/>
      <c r="C18" s="90"/>
      <c r="D18" s="90"/>
      <c r="E18" s="90"/>
      <c r="F18" s="86" t="str">
        <f t="shared" si="0"/>
        <v>----</v>
      </c>
    </row>
    <row r="19" spans="1:6">
      <c r="A19" s="107"/>
      <c r="B19" s="108"/>
      <c r="C19" s="90"/>
      <c r="D19" s="90"/>
      <c r="E19" s="90"/>
      <c r="F19" s="86" t="str">
        <f t="shared" si="0"/>
        <v>----</v>
      </c>
    </row>
    <row r="20" spans="1:6">
      <c r="A20" s="107"/>
      <c r="B20" s="108"/>
      <c r="C20" s="90"/>
      <c r="D20" s="90"/>
      <c r="E20" s="90"/>
      <c r="F20" s="86" t="str">
        <f t="shared" si="0"/>
        <v>----</v>
      </c>
    </row>
    <row r="21" spans="1:6">
      <c r="A21" s="123"/>
      <c r="B21" s="124"/>
      <c r="C21" s="125"/>
      <c r="D21" s="125"/>
      <c r="E21" s="125"/>
      <c r="F21" s="86" t="str">
        <f t="shared" si="0"/>
        <v>----</v>
      </c>
    </row>
    <row r="22" spans="1:6" ht="15.75" thickBot="1">
      <c r="A22" s="75"/>
      <c r="B22" s="76"/>
      <c r="C22" s="77"/>
      <c r="D22" s="77"/>
      <c r="E22" s="77"/>
      <c r="F22" s="78" t="str">
        <f>IF(ISBLANK($E22),"----",$E22-$D22)</f>
        <v>----</v>
      </c>
    </row>
    <row r="23" spans="1:6" ht="15.75" thickBot="1">
      <c r="A23" s="28"/>
      <c r="B23" s="28"/>
      <c r="C23" s="29"/>
      <c r="D23" s="29"/>
      <c r="E23" s="29"/>
      <c r="F23" s="70">
        <f>SUM(F3:F22)</f>
        <v>0</v>
      </c>
    </row>
  </sheetData>
  <mergeCells count="1">
    <mergeCell ref="A1:F1"/>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F18"/>
  <sheetViews>
    <sheetView workbookViewId="0">
      <selection activeCell="E9" sqref="E3:E9"/>
    </sheetView>
  </sheetViews>
  <sheetFormatPr defaultRowHeight="15"/>
  <cols>
    <col min="2" max="2" width="22.5703125" bestFit="1" customWidth="1"/>
    <col min="3" max="4" width="10.7109375" bestFit="1" customWidth="1"/>
    <col min="5" max="5" width="10.140625" bestFit="1" customWidth="1"/>
    <col min="6" max="6" width="9.85546875" bestFit="1" customWidth="1"/>
  </cols>
  <sheetData>
    <row r="1" spans="1:6" ht="15.75" thickBot="1">
      <c r="A1" s="530" t="s">
        <v>285</v>
      </c>
      <c r="B1" s="531"/>
      <c r="C1" s="531"/>
      <c r="D1" s="531"/>
      <c r="E1" s="531"/>
      <c r="F1" s="532"/>
    </row>
    <row r="2" spans="1:6" ht="57.75" thickBot="1">
      <c r="A2" s="25" t="s">
        <v>110</v>
      </c>
      <c r="B2" s="79" t="s">
        <v>111</v>
      </c>
      <c r="C2" s="80" t="s">
        <v>112</v>
      </c>
      <c r="D2" s="80" t="s">
        <v>120</v>
      </c>
      <c r="E2" s="80" t="s">
        <v>121</v>
      </c>
      <c r="F2" s="26" t="s">
        <v>113</v>
      </c>
    </row>
    <row r="3" spans="1:6">
      <c r="A3" s="543">
        <v>44153</v>
      </c>
      <c r="B3" s="72" t="s">
        <v>340</v>
      </c>
      <c r="C3" s="73">
        <v>440518.26</v>
      </c>
      <c r="D3" s="73">
        <v>235693.26</v>
      </c>
      <c r="E3" s="73">
        <v>238153.92</v>
      </c>
      <c r="F3" s="74">
        <f>IF(ISBLANK($E3),"----",$E3-$D3)</f>
        <v>2460.6600000000035</v>
      </c>
    </row>
    <row r="4" spans="1:6">
      <c r="A4" s="538"/>
      <c r="B4" s="106" t="s">
        <v>341</v>
      </c>
      <c r="C4" s="85">
        <v>433735.25</v>
      </c>
      <c r="D4" s="85">
        <v>338150.25</v>
      </c>
      <c r="E4" s="85">
        <v>308091.37</v>
      </c>
      <c r="F4" s="86">
        <f>IF(ISBLANK($E4),"----",$E4-$D4)</f>
        <v>-30058.880000000005</v>
      </c>
    </row>
    <row r="5" spans="1:6">
      <c r="A5" s="91">
        <v>44216</v>
      </c>
      <c r="B5" s="106" t="s">
        <v>384</v>
      </c>
      <c r="C5" s="85">
        <v>538624.5</v>
      </c>
      <c r="D5" s="85">
        <f>C5</f>
        <v>538624.5</v>
      </c>
      <c r="E5" s="85">
        <v>519115.73</v>
      </c>
      <c r="F5" s="86">
        <f t="shared" ref="F5:F16" si="0">IF(ISBLANK($E5),"----",$E5-$D5)</f>
        <v>-19508.770000000019</v>
      </c>
    </row>
    <row r="6" spans="1:6">
      <c r="A6" s="91">
        <v>44607</v>
      </c>
      <c r="B6" s="106" t="s">
        <v>513</v>
      </c>
      <c r="C6" s="85">
        <v>594810.69999999995</v>
      </c>
      <c r="D6" s="85">
        <f>C6</f>
        <v>594810.69999999995</v>
      </c>
      <c r="E6" s="85">
        <v>584050.91</v>
      </c>
      <c r="F6" s="86">
        <f t="shared" si="0"/>
        <v>-10759.789999999921</v>
      </c>
    </row>
    <row r="7" spans="1:6">
      <c r="A7" s="91">
        <v>44824</v>
      </c>
      <c r="B7" s="106" t="s">
        <v>574</v>
      </c>
      <c r="C7" s="85">
        <v>441309.25</v>
      </c>
      <c r="D7" s="85">
        <f>C7</f>
        <v>441309.25</v>
      </c>
      <c r="E7" s="85">
        <v>447088.78</v>
      </c>
      <c r="F7" s="86">
        <f t="shared" si="0"/>
        <v>5779.5300000000279</v>
      </c>
    </row>
    <row r="8" spans="1:6">
      <c r="A8" s="91">
        <v>44915</v>
      </c>
      <c r="B8" s="106" t="s">
        <v>637</v>
      </c>
      <c r="C8" s="85">
        <v>890768.8</v>
      </c>
      <c r="D8" s="85">
        <f>C8</f>
        <v>890768.8</v>
      </c>
      <c r="E8" s="85"/>
      <c r="F8" s="86" t="str">
        <f t="shared" si="0"/>
        <v>----</v>
      </c>
    </row>
    <row r="9" spans="1:6">
      <c r="A9" s="91">
        <v>45251</v>
      </c>
      <c r="B9" s="106" t="s">
        <v>698</v>
      </c>
      <c r="C9" s="85">
        <v>594539.19999999995</v>
      </c>
      <c r="D9" s="85">
        <f>C9</f>
        <v>594539.19999999995</v>
      </c>
      <c r="E9" s="85"/>
      <c r="F9" s="86" t="str">
        <f t="shared" si="0"/>
        <v>----</v>
      </c>
    </row>
    <row r="10" spans="1:6">
      <c r="A10" s="91"/>
      <c r="B10" s="106"/>
      <c r="C10" s="85"/>
      <c r="D10" s="85"/>
      <c r="E10" s="85"/>
      <c r="F10" s="86" t="str">
        <f t="shared" si="0"/>
        <v>----</v>
      </c>
    </row>
    <row r="11" spans="1:6">
      <c r="A11" s="91"/>
      <c r="B11" s="106"/>
      <c r="C11" s="85"/>
      <c r="D11" s="85"/>
      <c r="E11" s="85"/>
      <c r="F11" s="86" t="str">
        <f t="shared" si="0"/>
        <v>----</v>
      </c>
    </row>
    <row r="12" spans="1:6">
      <c r="A12" s="91"/>
      <c r="B12" s="106"/>
      <c r="C12" s="85"/>
      <c r="D12" s="85"/>
      <c r="E12" s="85"/>
      <c r="F12" s="86" t="str">
        <f t="shared" si="0"/>
        <v>----</v>
      </c>
    </row>
    <row r="13" spans="1:6">
      <c r="A13" s="91"/>
      <c r="B13" s="106"/>
      <c r="C13" s="85"/>
      <c r="D13" s="85"/>
      <c r="E13" s="85"/>
      <c r="F13" s="86" t="str">
        <f t="shared" si="0"/>
        <v>----</v>
      </c>
    </row>
    <row r="14" spans="1:6">
      <c r="A14" s="91"/>
      <c r="B14" s="106"/>
      <c r="C14" s="85"/>
      <c r="D14" s="85"/>
      <c r="E14" s="85"/>
      <c r="F14" s="86" t="str">
        <f t="shared" si="0"/>
        <v>----</v>
      </c>
    </row>
    <row r="15" spans="1:6">
      <c r="A15" s="91"/>
      <c r="B15" s="106"/>
      <c r="C15" s="85"/>
      <c r="D15" s="85"/>
      <c r="E15" s="85"/>
      <c r="F15" s="86" t="str">
        <f t="shared" si="0"/>
        <v>----</v>
      </c>
    </row>
    <row r="16" spans="1:6">
      <c r="A16" s="91"/>
      <c r="B16" s="106"/>
      <c r="C16" s="85"/>
      <c r="D16" s="85"/>
      <c r="E16" s="85"/>
      <c r="F16" s="86" t="str">
        <f t="shared" si="0"/>
        <v>----</v>
      </c>
    </row>
    <row r="17" spans="1:6" ht="15.75" thickBot="1">
      <c r="A17" s="75"/>
      <c r="B17" s="76"/>
      <c r="C17" s="77"/>
      <c r="D17" s="77"/>
      <c r="E17" s="77"/>
      <c r="F17" s="78" t="str">
        <f>IF(ISBLANK($E17),"----",$E17-$D17)</f>
        <v>----</v>
      </c>
    </row>
    <row r="18" spans="1:6" ht="15.75" thickBot="1">
      <c r="A18" s="28"/>
      <c r="B18" s="28"/>
      <c r="C18" s="29"/>
      <c r="D18" s="29"/>
      <c r="E18" s="29"/>
      <c r="F18" s="70">
        <f>SUM(F3:F17)</f>
        <v>-52087.249999999913</v>
      </c>
    </row>
  </sheetData>
  <mergeCells count="2">
    <mergeCell ref="A1:F1"/>
    <mergeCell ref="A3:A4"/>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F18"/>
  <sheetViews>
    <sheetView workbookViewId="0">
      <selection activeCell="E4" sqref="E4"/>
    </sheetView>
  </sheetViews>
  <sheetFormatPr defaultRowHeight="15"/>
  <cols>
    <col min="2" max="2" width="23" bestFit="1" customWidth="1"/>
    <col min="3" max="3" width="10.7109375" bestFit="1" customWidth="1"/>
    <col min="4" max="4" width="12" customWidth="1"/>
    <col min="5" max="5" width="10.140625" customWidth="1"/>
    <col min="6" max="6" width="12.42578125" customWidth="1"/>
  </cols>
  <sheetData>
    <row r="1" spans="1:6" ht="15.75" thickBot="1">
      <c r="A1" s="530" t="s">
        <v>141</v>
      </c>
      <c r="B1" s="531"/>
      <c r="C1" s="531"/>
      <c r="D1" s="531"/>
      <c r="E1" s="531"/>
      <c r="F1" s="532"/>
    </row>
    <row r="2" spans="1:6" ht="57.75" thickBot="1">
      <c r="A2" s="25" t="s">
        <v>110</v>
      </c>
      <c r="B2" s="79" t="s">
        <v>111</v>
      </c>
      <c r="C2" s="80" t="s">
        <v>112</v>
      </c>
      <c r="D2" s="80" t="s">
        <v>120</v>
      </c>
      <c r="E2" s="80" t="s">
        <v>121</v>
      </c>
      <c r="F2" s="26" t="s">
        <v>113</v>
      </c>
    </row>
    <row r="3" spans="1:6">
      <c r="A3" s="71">
        <v>43788</v>
      </c>
      <c r="B3" s="72" t="s">
        <v>343</v>
      </c>
      <c r="C3" s="73">
        <v>605531.69999999995</v>
      </c>
      <c r="D3" s="73">
        <f>C3</f>
        <v>605531.69999999995</v>
      </c>
      <c r="E3" s="73"/>
      <c r="F3" s="74" t="str">
        <f>IF(ISBLANK($E3),"----",$E3-$D3)</f>
        <v>----</v>
      </c>
    </row>
    <row r="4" spans="1:6">
      <c r="A4" s="134">
        <v>44153</v>
      </c>
      <c r="B4" s="135" t="s">
        <v>342</v>
      </c>
      <c r="C4" s="136">
        <v>713284.12</v>
      </c>
      <c r="D4" s="136">
        <v>221704.12</v>
      </c>
      <c r="E4" s="136">
        <v>208108.73</v>
      </c>
      <c r="F4" s="133">
        <f t="shared" ref="F4:F15" si="0">IF(ISBLANK($E4),"----",$E4-$D4)</f>
        <v>-13595.389999999985</v>
      </c>
    </row>
    <row r="5" spans="1:6">
      <c r="A5" s="127">
        <v>44397</v>
      </c>
      <c r="B5" s="128" t="s">
        <v>446</v>
      </c>
      <c r="C5" s="129">
        <v>289498.25</v>
      </c>
      <c r="D5" s="129">
        <v>71018.25</v>
      </c>
      <c r="E5" s="129"/>
      <c r="F5" s="133" t="str">
        <f t="shared" si="0"/>
        <v>----</v>
      </c>
    </row>
    <row r="6" spans="1:6">
      <c r="A6" s="127">
        <v>44397</v>
      </c>
      <c r="B6" s="128" t="s">
        <v>447</v>
      </c>
      <c r="C6" s="129">
        <v>874442.2</v>
      </c>
      <c r="D6" s="129">
        <v>492102.2</v>
      </c>
      <c r="E6" s="129"/>
      <c r="F6" s="133" t="str">
        <f t="shared" si="0"/>
        <v>----</v>
      </c>
    </row>
    <row r="7" spans="1:6">
      <c r="A7" s="127"/>
      <c r="B7" s="128"/>
      <c r="C7" s="129"/>
      <c r="D7" s="129"/>
      <c r="E7" s="129"/>
      <c r="F7" s="133" t="str">
        <f t="shared" si="0"/>
        <v>----</v>
      </c>
    </row>
    <row r="8" spans="1:6">
      <c r="A8" s="127"/>
      <c r="B8" s="128"/>
      <c r="C8" s="129"/>
      <c r="D8" s="129"/>
      <c r="E8" s="129"/>
      <c r="F8" s="133" t="str">
        <f t="shared" si="0"/>
        <v>----</v>
      </c>
    </row>
    <row r="9" spans="1:6">
      <c r="A9" s="127"/>
      <c r="B9" s="128"/>
      <c r="C9" s="129"/>
      <c r="D9" s="129"/>
      <c r="E9" s="129"/>
      <c r="F9" s="133" t="str">
        <f t="shared" si="0"/>
        <v>----</v>
      </c>
    </row>
    <row r="10" spans="1:6">
      <c r="A10" s="127"/>
      <c r="B10" s="128"/>
      <c r="C10" s="129"/>
      <c r="D10" s="129"/>
      <c r="E10" s="129"/>
      <c r="F10" s="133" t="str">
        <f t="shared" si="0"/>
        <v>----</v>
      </c>
    </row>
    <row r="11" spans="1:6">
      <c r="A11" s="127"/>
      <c r="B11" s="128"/>
      <c r="C11" s="129"/>
      <c r="D11" s="129"/>
      <c r="E11" s="129"/>
      <c r="F11" s="133" t="str">
        <f t="shared" si="0"/>
        <v>----</v>
      </c>
    </row>
    <row r="12" spans="1:6">
      <c r="A12" s="127"/>
      <c r="B12" s="128"/>
      <c r="C12" s="129"/>
      <c r="D12" s="129"/>
      <c r="E12" s="129"/>
      <c r="F12" s="133" t="str">
        <f t="shared" si="0"/>
        <v>----</v>
      </c>
    </row>
    <row r="13" spans="1:6">
      <c r="A13" s="127"/>
      <c r="B13" s="128"/>
      <c r="C13" s="129"/>
      <c r="D13" s="129"/>
      <c r="E13" s="129"/>
      <c r="F13" s="133" t="str">
        <f t="shared" si="0"/>
        <v>----</v>
      </c>
    </row>
    <row r="14" spans="1:6">
      <c r="A14" s="127"/>
      <c r="B14" s="128"/>
      <c r="C14" s="129"/>
      <c r="D14" s="129"/>
      <c r="E14" s="129"/>
      <c r="F14" s="133" t="str">
        <f t="shared" si="0"/>
        <v>----</v>
      </c>
    </row>
    <row r="15" spans="1:6">
      <c r="A15" s="127"/>
      <c r="B15" s="128"/>
      <c r="C15" s="129"/>
      <c r="D15" s="129"/>
      <c r="E15" s="129"/>
      <c r="F15" s="133" t="str">
        <f t="shared" si="0"/>
        <v>----</v>
      </c>
    </row>
    <row r="16" spans="1:6">
      <c r="A16" s="130"/>
      <c r="B16" s="131"/>
      <c r="C16" s="132"/>
      <c r="D16" s="132"/>
      <c r="E16" s="132"/>
      <c r="F16" s="133" t="str">
        <f>IF(ISBLANK($E16),"----",$E16-$D16)</f>
        <v>----</v>
      </c>
    </row>
    <row r="17" spans="1:6" ht="15.75" thickBot="1">
      <c r="A17" s="75"/>
      <c r="B17" s="76"/>
      <c r="C17" s="77"/>
      <c r="D17" s="77"/>
      <c r="E17" s="77"/>
      <c r="F17" s="78" t="str">
        <f>IF(ISBLANK($E17),"----",$E17-$D17)</f>
        <v>----</v>
      </c>
    </row>
    <row r="18" spans="1:6" ht="15.75" thickBot="1">
      <c r="A18" s="28"/>
      <c r="B18" s="28"/>
      <c r="C18" s="29"/>
      <c r="D18" s="29"/>
      <c r="E18" s="29"/>
      <c r="F18" s="70">
        <f>SUM(F3:F17)</f>
        <v>-13595.389999999985</v>
      </c>
    </row>
  </sheetData>
  <mergeCells count="1">
    <mergeCell ref="A1:F1"/>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I28"/>
  <sheetViews>
    <sheetView workbookViewId="0">
      <selection activeCell="E4" sqref="E4"/>
    </sheetView>
  </sheetViews>
  <sheetFormatPr defaultRowHeight="15"/>
  <cols>
    <col min="2" max="2" width="22.42578125" bestFit="1" customWidth="1"/>
    <col min="3" max="3" width="10" bestFit="1" customWidth="1"/>
    <col min="4" max="4" width="11.5703125" customWidth="1"/>
    <col min="5" max="5" width="9.5703125" bestFit="1" customWidth="1"/>
    <col min="6" max="6" width="13.85546875" customWidth="1"/>
    <col min="9" max="9" width="10.140625" bestFit="1" customWidth="1"/>
  </cols>
  <sheetData>
    <row r="1" spans="1:9" ht="15.75" thickBot="1">
      <c r="A1" s="530" t="s">
        <v>158</v>
      </c>
      <c r="B1" s="531"/>
      <c r="C1" s="531"/>
      <c r="D1" s="531"/>
      <c r="E1" s="531"/>
      <c r="F1" s="532"/>
    </row>
    <row r="2" spans="1:9" ht="57.75" thickBot="1">
      <c r="A2" s="25" t="s">
        <v>110</v>
      </c>
      <c r="B2" s="79" t="s">
        <v>111</v>
      </c>
      <c r="C2" s="80" t="s">
        <v>112</v>
      </c>
      <c r="D2" s="80" t="s">
        <v>120</v>
      </c>
      <c r="E2" s="80" t="s">
        <v>121</v>
      </c>
      <c r="F2" s="26" t="s">
        <v>113</v>
      </c>
    </row>
    <row r="3" spans="1:9">
      <c r="A3" s="71">
        <v>43816</v>
      </c>
      <c r="B3" s="72" t="s">
        <v>161</v>
      </c>
      <c r="C3" s="109">
        <v>619973.69999999995</v>
      </c>
      <c r="D3" s="109">
        <v>540968.18000000005</v>
      </c>
      <c r="E3" s="109">
        <f>609367.21-79005.52</f>
        <v>530361.68999999994</v>
      </c>
      <c r="F3" s="74">
        <f>IF(ISBLANK($E3),"----",$E3-$D3)</f>
        <v>-10606.490000000107</v>
      </c>
      <c r="G3" s="22" t="s">
        <v>163</v>
      </c>
    </row>
    <row r="4" spans="1:9">
      <c r="A4" s="91">
        <v>43816</v>
      </c>
      <c r="B4" s="106" t="s">
        <v>162</v>
      </c>
      <c r="C4" s="119">
        <v>393547.9</v>
      </c>
      <c r="D4" s="119">
        <f>C4</f>
        <v>393547.9</v>
      </c>
      <c r="E4" s="119">
        <v>394376.07</v>
      </c>
      <c r="F4" s="86">
        <f>IF(ISBLANK($E4),"----",$E4-$D4)</f>
        <v>828.1699999999837</v>
      </c>
    </row>
    <row r="5" spans="1:9">
      <c r="A5" s="117">
        <v>44061</v>
      </c>
      <c r="B5" s="118" t="s">
        <v>302</v>
      </c>
      <c r="C5" s="120">
        <v>526549.01</v>
      </c>
      <c r="D5" s="120">
        <v>251264.01</v>
      </c>
      <c r="E5" s="120">
        <v>247856.43</v>
      </c>
      <c r="F5" s="86">
        <f t="shared" ref="F5:F26" si="0">IF(ISBLANK($E5),"----",$E5-$D5)</f>
        <v>-3407.5800000000163</v>
      </c>
      <c r="I5" s="22">
        <f>C3-D3</f>
        <v>79005.519999999902</v>
      </c>
    </row>
    <row r="6" spans="1:9">
      <c r="A6" s="127">
        <v>44516</v>
      </c>
      <c r="B6" s="128" t="s">
        <v>474</v>
      </c>
      <c r="C6" s="242">
        <v>240684.43</v>
      </c>
      <c r="D6" s="242">
        <f>C6</f>
        <v>240684.43</v>
      </c>
      <c r="E6" s="243">
        <v>241479.78</v>
      </c>
      <c r="F6" s="86">
        <f t="shared" si="0"/>
        <v>795.35000000000582</v>
      </c>
    </row>
    <row r="7" spans="1:9">
      <c r="A7" s="127"/>
      <c r="B7" s="128"/>
      <c r="C7" s="242"/>
      <c r="D7" s="242"/>
      <c r="E7" s="243"/>
      <c r="F7" s="86" t="str">
        <f t="shared" si="0"/>
        <v>----</v>
      </c>
    </row>
    <row r="8" spans="1:9">
      <c r="A8" s="127"/>
      <c r="B8" s="128"/>
      <c r="C8" s="242"/>
      <c r="D8" s="242"/>
      <c r="E8" s="243"/>
      <c r="F8" s="86" t="str">
        <f t="shared" si="0"/>
        <v>----</v>
      </c>
    </row>
    <row r="9" spans="1:9">
      <c r="A9" s="127"/>
      <c r="B9" s="128"/>
      <c r="C9" s="242"/>
      <c r="D9" s="242"/>
      <c r="E9" s="243"/>
      <c r="F9" s="86" t="str">
        <f t="shared" si="0"/>
        <v>----</v>
      </c>
    </row>
    <row r="10" spans="1:9">
      <c r="A10" s="127"/>
      <c r="B10" s="128"/>
      <c r="C10" s="242"/>
      <c r="D10" s="242"/>
      <c r="E10" s="243"/>
      <c r="F10" s="86" t="str">
        <f t="shared" si="0"/>
        <v>----</v>
      </c>
    </row>
    <row r="11" spans="1:9">
      <c r="A11" s="127"/>
      <c r="B11" s="128"/>
      <c r="C11" s="242"/>
      <c r="D11" s="242"/>
      <c r="E11" s="243"/>
      <c r="F11" s="86" t="str">
        <f t="shared" si="0"/>
        <v>----</v>
      </c>
    </row>
    <row r="12" spans="1:9">
      <c r="A12" s="127"/>
      <c r="B12" s="128"/>
      <c r="C12" s="242"/>
      <c r="D12" s="242"/>
      <c r="E12" s="243"/>
      <c r="F12" s="86" t="str">
        <f t="shared" si="0"/>
        <v>----</v>
      </c>
    </row>
    <row r="13" spans="1:9">
      <c r="A13" s="127"/>
      <c r="B13" s="128"/>
      <c r="C13" s="242"/>
      <c r="D13" s="242"/>
      <c r="E13" s="243"/>
      <c r="F13" s="86" t="str">
        <f t="shared" si="0"/>
        <v>----</v>
      </c>
    </row>
    <row r="14" spans="1:9">
      <c r="A14" s="127"/>
      <c r="B14" s="128"/>
      <c r="C14" s="242"/>
      <c r="D14" s="242"/>
      <c r="E14" s="243"/>
      <c r="F14" s="86" t="str">
        <f t="shared" si="0"/>
        <v>----</v>
      </c>
    </row>
    <row r="15" spans="1:9">
      <c r="A15" s="127"/>
      <c r="B15" s="128"/>
      <c r="C15" s="242"/>
      <c r="D15" s="242"/>
      <c r="E15" s="243"/>
      <c r="F15" s="86" t="str">
        <f t="shared" si="0"/>
        <v>----</v>
      </c>
    </row>
    <row r="16" spans="1:9">
      <c r="A16" s="127"/>
      <c r="B16" s="128"/>
      <c r="C16" s="242"/>
      <c r="D16" s="242"/>
      <c r="E16" s="243"/>
      <c r="F16" s="86" t="str">
        <f t="shared" si="0"/>
        <v>----</v>
      </c>
    </row>
    <row r="17" spans="1:6">
      <c r="A17" s="127"/>
      <c r="B17" s="128"/>
      <c r="C17" s="242"/>
      <c r="D17" s="242"/>
      <c r="E17" s="243"/>
      <c r="F17" s="86" t="str">
        <f t="shared" si="0"/>
        <v>----</v>
      </c>
    </row>
    <row r="18" spans="1:6">
      <c r="A18" s="127"/>
      <c r="B18" s="128"/>
      <c r="C18" s="242"/>
      <c r="D18" s="242"/>
      <c r="E18" s="243"/>
      <c r="F18" s="86" t="str">
        <f t="shared" si="0"/>
        <v>----</v>
      </c>
    </row>
    <row r="19" spans="1:6">
      <c r="A19" s="127"/>
      <c r="B19" s="128"/>
      <c r="C19" s="242"/>
      <c r="D19" s="242"/>
      <c r="E19" s="243"/>
      <c r="F19" s="86" t="str">
        <f t="shared" si="0"/>
        <v>----</v>
      </c>
    </row>
    <row r="20" spans="1:6">
      <c r="A20" s="127"/>
      <c r="B20" s="128"/>
      <c r="C20" s="242"/>
      <c r="D20" s="242"/>
      <c r="E20" s="243"/>
      <c r="F20" s="86" t="str">
        <f t="shared" si="0"/>
        <v>----</v>
      </c>
    </row>
    <row r="21" spans="1:6">
      <c r="A21" s="127"/>
      <c r="B21" s="128"/>
      <c r="C21" s="242"/>
      <c r="D21" s="242"/>
      <c r="E21" s="243"/>
      <c r="F21" s="86" t="str">
        <f t="shared" si="0"/>
        <v>----</v>
      </c>
    </row>
    <row r="22" spans="1:6">
      <c r="A22" s="127"/>
      <c r="B22" s="128"/>
      <c r="C22" s="242"/>
      <c r="D22" s="242"/>
      <c r="E22" s="243"/>
      <c r="F22" s="86" t="str">
        <f t="shared" si="0"/>
        <v>----</v>
      </c>
    </row>
    <row r="23" spans="1:6">
      <c r="A23" s="127"/>
      <c r="B23" s="128"/>
      <c r="C23" s="242"/>
      <c r="D23" s="242"/>
      <c r="E23" s="243"/>
      <c r="F23" s="86" t="str">
        <f t="shared" si="0"/>
        <v>----</v>
      </c>
    </row>
    <row r="24" spans="1:6">
      <c r="A24" s="127"/>
      <c r="B24" s="128"/>
      <c r="C24" s="242"/>
      <c r="D24" s="242"/>
      <c r="E24" s="243"/>
      <c r="F24" s="86" t="str">
        <f t="shared" si="0"/>
        <v>----</v>
      </c>
    </row>
    <row r="25" spans="1:6">
      <c r="A25" s="127"/>
      <c r="B25" s="128"/>
      <c r="C25" s="242"/>
      <c r="D25" s="242"/>
      <c r="E25" s="243"/>
      <c r="F25" s="86" t="str">
        <f t="shared" si="0"/>
        <v>----</v>
      </c>
    </row>
    <row r="26" spans="1:6">
      <c r="A26" s="130"/>
      <c r="B26" s="131"/>
      <c r="C26" s="244"/>
      <c r="D26" s="244"/>
      <c r="E26" s="245"/>
      <c r="F26" s="86" t="str">
        <f t="shared" si="0"/>
        <v>----</v>
      </c>
    </row>
    <row r="27" spans="1:6" ht="15.75" thickBot="1">
      <c r="A27" s="116"/>
      <c r="B27" s="76"/>
      <c r="C27" s="111"/>
      <c r="D27" s="111"/>
      <c r="E27" s="111"/>
      <c r="F27" s="78" t="str">
        <f>IF(ISBLANK($E27),"----",$E27-$D27)</f>
        <v>----</v>
      </c>
    </row>
    <row r="28" spans="1:6" ht="15.75" thickBot="1">
      <c r="A28" s="28"/>
      <c r="B28" s="28"/>
      <c r="C28" s="29"/>
      <c r="D28" s="29"/>
      <c r="E28" s="29"/>
      <c r="F28" s="70">
        <f>SUM(F3:F27)</f>
        <v>-12390.550000000134</v>
      </c>
    </row>
  </sheetData>
  <mergeCells count="1">
    <mergeCell ref="A1:F1"/>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G27"/>
  <sheetViews>
    <sheetView workbookViewId="0">
      <selection activeCell="C18" sqref="C18"/>
    </sheetView>
  </sheetViews>
  <sheetFormatPr defaultRowHeight="15"/>
  <cols>
    <col min="2" max="2" width="21.42578125" bestFit="1" customWidth="1"/>
    <col min="3" max="3" width="9.85546875" bestFit="1" customWidth="1"/>
    <col min="4" max="4" width="11.5703125" customWidth="1"/>
    <col min="6" max="6" width="13.85546875" customWidth="1"/>
  </cols>
  <sheetData>
    <row r="1" spans="1:7" ht="15.75" thickBot="1">
      <c r="A1" s="530" t="s">
        <v>288</v>
      </c>
      <c r="B1" s="531"/>
      <c r="C1" s="531"/>
      <c r="D1" s="531"/>
      <c r="E1" s="531"/>
      <c r="F1" s="532"/>
    </row>
    <row r="2" spans="1:7" ht="57.75" thickBot="1">
      <c r="A2" s="25" t="s">
        <v>110</v>
      </c>
      <c r="B2" s="79" t="s">
        <v>111</v>
      </c>
      <c r="C2" s="80" t="s">
        <v>112</v>
      </c>
      <c r="D2" s="80" t="s">
        <v>120</v>
      </c>
      <c r="E2" s="80" t="s">
        <v>121</v>
      </c>
      <c r="F2" s="26" t="s">
        <v>113</v>
      </c>
    </row>
    <row r="3" spans="1:7">
      <c r="A3" s="71">
        <v>44635</v>
      </c>
      <c r="B3" s="72" t="s">
        <v>510</v>
      </c>
      <c r="C3" s="73">
        <v>969749.6</v>
      </c>
      <c r="D3" s="73">
        <f>C3</f>
        <v>969749.6</v>
      </c>
      <c r="E3" s="73"/>
      <c r="F3" s="74" t="str">
        <f>IF(ISBLANK($E3),"----",$E3-$D3)</f>
        <v>----</v>
      </c>
      <c r="G3" s="22"/>
    </row>
    <row r="4" spans="1:7">
      <c r="A4" s="91"/>
      <c r="B4" s="106"/>
      <c r="C4" s="85"/>
      <c r="D4" s="85"/>
      <c r="E4" s="85"/>
      <c r="F4" s="86" t="str">
        <f>IF(ISBLANK($E4),"----",$E4-$D4)</f>
        <v>----</v>
      </c>
    </row>
    <row r="5" spans="1:7">
      <c r="A5" s="91"/>
      <c r="B5" s="106"/>
      <c r="C5" s="85"/>
      <c r="D5" s="85"/>
      <c r="E5" s="85"/>
      <c r="F5" s="86" t="str">
        <f t="shared" ref="F5:F25" si="0">IF(ISBLANK($E5),"----",$E5-$D5)</f>
        <v>----</v>
      </c>
    </row>
    <row r="6" spans="1:7">
      <c r="A6" s="91"/>
      <c r="B6" s="106"/>
      <c r="C6" s="85"/>
      <c r="D6" s="85"/>
      <c r="E6" s="85"/>
      <c r="F6" s="86" t="str">
        <f t="shared" si="0"/>
        <v>----</v>
      </c>
    </row>
    <row r="7" spans="1:7">
      <c r="A7" s="91"/>
      <c r="B7" s="106"/>
      <c r="C7" s="85"/>
      <c r="D7" s="85"/>
      <c r="E7" s="85"/>
      <c r="F7" s="86" t="str">
        <f t="shared" si="0"/>
        <v>----</v>
      </c>
    </row>
    <row r="8" spans="1:7">
      <c r="A8" s="91"/>
      <c r="B8" s="106"/>
      <c r="C8" s="85"/>
      <c r="D8" s="85"/>
      <c r="E8" s="85"/>
      <c r="F8" s="86" t="str">
        <f t="shared" si="0"/>
        <v>----</v>
      </c>
    </row>
    <row r="9" spans="1:7">
      <c r="A9" s="91"/>
      <c r="B9" s="106"/>
      <c r="C9" s="85"/>
      <c r="D9" s="85"/>
      <c r="E9" s="85"/>
      <c r="F9" s="86" t="str">
        <f t="shared" si="0"/>
        <v>----</v>
      </c>
    </row>
    <row r="10" spans="1:7">
      <c r="A10" s="91"/>
      <c r="B10" s="106"/>
      <c r="C10" s="85"/>
      <c r="D10" s="85"/>
      <c r="E10" s="85"/>
      <c r="F10" s="86" t="str">
        <f t="shared" si="0"/>
        <v>----</v>
      </c>
    </row>
    <row r="11" spans="1:7">
      <c r="A11" s="91"/>
      <c r="B11" s="106"/>
      <c r="C11" s="85"/>
      <c r="D11" s="85"/>
      <c r="E11" s="85"/>
      <c r="F11" s="86" t="str">
        <f t="shared" si="0"/>
        <v>----</v>
      </c>
    </row>
    <row r="12" spans="1:7">
      <c r="A12" s="91"/>
      <c r="B12" s="106"/>
      <c r="C12" s="85"/>
      <c r="D12" s="85"/>
      <c r="E12" s="85"/>
      <c r="F12" s="86" t="str">
        <f t="shared" si="0"/>
        <v>----</v>
      </c>
    </row>
    <row r="13" spans="1:7">
      <c r="A13" s="91"/>
      <c r="B13" s="106"/>
      <c r="C13" s="85"/>
      <c r="D13" s="85"/>
      <c r="E13" s="85"/>
      <c r="F13" s="86" t="str">
        <f t="shared" si="0"/>
        <v>----</v>
      </c>
    </row>
    <row r="14" spans="1:7">
      <c r="A14" s="91"/>
      <c r="B14" s="106"/>
      <c r="C14" s="85"/>
      <c r="D14" s="85"/>
      <c r="E14" s="85"/>
      <c r="F14" s="86" t="str">
        <f t="shared" si="0"/>
        <v>----</v>
      </c>
    </row>
    <row r="15" spans="1:7">
      <c r="A15" s="91"/>
      <c r="B15" s="106"/>
      <c r="C15" s="85"/>
      <c r="D15" s="85"/>
      <c r="E15" s="85"/>
      <c r="F15" s="86" t="str">
        <f t="shared" si="0"/>
        <v>----</v>
      </c>
    </row>
    <row r="16" spans="1:7">
      <c r="A16" s="91"/>
      <c r="B16" s="106"/>
      <c r="C16" s="85"/>
      <c r="D16" s="85"/>
      <c r="E16" s="85"/>
      <c r="F16" s="86" t="str">
        <f t="shared" si="0"/>
        <v>----</v>
      </c>
    </row>
    <row r="17" spans="1:6">
      <c r="A17" s="91"/>
      <c r="B17" s="106"/>
      <c r="C17" s="85"/>
      <c r="D17" s="85"/>
      <c r="E17" s="85"/>
      <c r="F17" s="86" t="str">
        <f t="shared" si="0"/>
        <v>----</v>
      </c>
    </row>
    <row r="18" spans="1:6">
      <c r="A18" s="91"/>
      <c r="B18" s="106"/>
      <c r="C18" s="85"/>
      <c r="D18" s="85"/>
      <c r="E18" s="85"/>
      <c r="F18" s="86" t="str">
        <f t="shared" si="0"/>
        <v>----</v>
      </c>
    </row>
    <row r="19" spans="1:6">
      <c r="A19" s="91"/>
      <c r="B19" s="106"/>
      <c r="C19" s="85"/>
      <c r="D19" s="85"/>
      <c r="E19" s="85"/>
      <c r="F19" s="86" t="str">
        <f t="shared" si="0"/>
        <v>----</v>
      </c>
    </row>
    <row r="20" spans="1:6">
      <c r="A20" s="91"/>
      <c r="B20" s="106"/>
      <c r="C20" s="85"/>
      <c r="D20" s="85"/>
      <c r="E20" s="85"/>
      <c r="F20" s="86" t="str">
        <f t="shared" si="0"/>
        <v>----</v>
      </c>
    </row>
    <row r="21" spans="1:6">
      <c r="A21" s="91"/>
      <c r="B21" s="106"/>
      <c r="C21" s="85"/>
      <c r="D21" s="85"/>
      <c r="E21" s="85"/>
      <c r="F21" s="86" t="str">
        <f t="shared" si="0"/>
        <v>----</v>
      </c>
    </row>
    <row r="22" spans="1:6">
      <c r="A22" s="91"/>
      <c r="B22" s="106"/>
      <c r="C22" s="85"/>
      <c r="D22" s="85"/>
      <c r="E22" s="85"/>
      <c r="F22" s="86" t="str">
        <f t="shared" si="0"/>
        <v>----</v>
      </c>
    </row>
    <row r="23" spans="1:6">
      <c r="A23" s="91"/>
      <c r="B23" s="106"/>
      <c r="C23" s="85"/>
      <c r="D23" s="85"/>
      <c r="E23" s="85"/>
      <c r="F23" s="86" t="str">
        <f t="shared" si="0"/>
        <v>----</v>
      </c>
    </row>
    <row r="24" spans="1:6">
      <c r="A24" s="91"/>
      <c r="B24" s="106"/>
      <c r="C24" s="85"/>
      <c r="D24" s="85"/>
      <c r="E24" s="85"/>
      <c r="F24" s="86" t="str">
        <f t="shared" si="0"/>
        <v>----</v>
      </c>
    </row>
    <row r="25" spans="1:6">
      <c r="A25" s="91"/>
      <c r="B25" s="106"/>
      <c r="C25" s="85"/>
      <c r="D25" s="85"/>
      <c r="E25" s="85"/>
      <c r="F25" s="86" t="str">
        <f t="shared" si="0"/>
        <v>----</v>
      </c>
    </row>
    <row r="26" spans="1:6" ht="15.75" thickBot="1">
      <c r="A26" s="75"/>
      <c r="B26" s="76"/>
      <c r="C26" s="77"/>
      <c r="D26" s="77"/>
      <c r="E26" s="77"/>
      <c r="F26" s="78" t="str">
        <f>IF(ISBLANK($E26),"----",$E26-$D26)</f>
        <v>----</v>
      </c>
    </row>
    <row r="27" spans="1:6" ht="15.75" thickBot="1">
      <c r="A27" s="28"/>
      <c r="B27" s="28"/>
      <c r="C27" s="29"/>
      <c r="D27" s="29"/>
      <c r="E27" s="29"/>
      <c r="F27" s="70">
        <f>SUM(F3:F26)</f>
        <v>0</v>
      </c>
    </row>
  </sheetData>
  <mergeCells count="1">
    <mergeCell ref="A1:F1"/>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I19"/>
  <sheetViews>
    <sheetView workbookViewId="0">
      <selection activeCell="H23" sqref="H23"/>
    </sheetView>
  </sheetViews>
  <sheetFormatPr defaultRowHeight="15"/>
  <cols>
    <col min="2" max="2" width="23.7109375" bestFit="1" customWidth="1"/>
    <col min="3" max="3" width="10.7109375" bestFit="1" customWidth="1"/>
    <col min="4" max="4" width="12.28515625" customWidth="1"/>
    <col min="5" max="5" width="10.140625" bestFit="1" customWidth="1"/>
    <col min="6" max="6" width="9.85546875" bestFit="1" customWidth="1"/>
    <col min="9" max="9" width="9.5703125" bestFit="1" customWidth="1"/>
  </cols>
  <sheetData>
    <row r="1" spans="1:9" ht="15.75" thickBot="1">
      <c r="A1" s="530" t="s">
        <v>188</v>
      </c>
      <c r="B1" s="531"/>
      <c r="C1" s="531"/>
      <c r="D1" s="531"/>
      <c r="E1" s="531"/>
      <c r="F1" s="532"/>
    </row>
    <row r="2" spans="1:9" ht="57.75" thickBot="1">
      <c r="A2" s="25" t="s">
        <v>110</v>
      </c>
      <c r="B2" s="79" t="s">
        <v>111</v>
      </c>
      <c r="C2" s="80" t="s">
        <v>112</v>
      </c>
      <c r="D2" s="80" t="s">
        <v>247</v>
      </c>
      <c r="E2" s="80" t="s">
        <v>121</v>
      </c>
      <c r="F2" s="26" t="s">
        <v>113</v>
      </c>
    </row>
    <row r="3" spans="1:9">
      <c r="A3" s="71">
        <v>43852</v>
      </c>
      <c r="B3" s="72" t="s">
        <v>189</v>
      </c>
      <c r="C3" s="73">
        <v>328686.63</v>
      </c>
      <c r="D3" s="73">
        <f>C3</f>
        <v>328686.63</v>
      </c>
      <c r="E3" s="73">
        <v>340322.04</v>
      </c>
      <c r="F3" s="74">
        <f>IF(ISBLANK($E3),"----",$E3-$D3)</f>
        <v>11635.409999999974</v>
      </c>
    </row>
    <row r="4" spans="1:9">
      <c r="A4" s="91">
        <v>43852</v>
      </c>
      <c r="B4" s="106" t="s">
        <v>190</v>
      </c>
      <c r="C4" s="85">
        <v>313983.13</v>
      </c>
      <c r="D4" s="85">
        <f>C4</f>
        <v>313983.13</v>
      </c>
      <c r="E4" s="85">
        <v>333965.59000000003</v>
      </c>
      <c r="F4" s="86">
        <f>IF(ISBLANK($E4),"----",$E4-$D4)</f>
        <v>19982.460000000021</v>
      </c>
    </row>
    <row r="5" spans="1:9">
      <c r="A5" s="107">
        <v>44124</v>
      </c>
      <c r="B5" s="108" t="s">
        <v>321</v>
      </c>
      <c r="C5" s="90">
        <v>945560.95</v>
      </c>
      <c r="D5" s="90">
        <f>C5</f>
        <v>945560.95</v>
      </c>
      <c r="E5" s="90">
        <v>964026.48</v>
      </c>
      <c r="F5" s="86">
        <f t="shared" ref="F5:F17" si="0">IF(ISBLANK($E5),"----",$E5-$D5)</f>
        <v>18465.530000000028</v>
      </c>
    </row>
    <row r="6" spans="1:9">
      <c r="A6" s="140">
        <v>44153</v>
      </c>
      <c r="B6" s="108" t="s">
        <v>344</v>
      </c>
      <c r="C6" s="90">
        <v>266083.8</v>
      </c>
      <c r="D6" s="90">
        <f>C6</f>
        <v>266083.8</v>
      </c>
      <c r="E6" s="90">
        <v>263462.09999999998</v>
      </c>
      <c r="F6" s="86">
        <f t="shared" si="0"/>
        <v>-2621.7000000000116</v>
      </c>
    </row>
    <row r="7" spans="1:9">
      <c r="A7" s="107">
        <v>44153</v>
      </c>
      <c r="B7" s="108" t="s">
        <v>345</v>
      </c>
      <c r="C7" s="90">
        <v>391936.2</v>
      </c>
      <c r="D7" s="90">
        <f>C7</f>
        <v>391936.2</v>
      </c>
      <c r="E7" s="90">
        <v>365725.49</v>
      </c>
      <c r="F7" s="86">
        <f t="shared" si="0"/>
        <v>-26210.710000000021</v>
      </c>
    </row>
    <row r="8" spans="1:9">
      <c r="A8" s="539">
        <v>44271</v>
      </c>
      <c r="B8" s="108" t="s">
        <v>412</v>
      </c>
      <c r="C8" s="90">
        <v>102512.25</v>
      </c>
      <c r="D8" s="90">
        <v>47892.25</v>
      </c>
      <c r="E8" s="90"/>
      <c r="F8" s="86" t="str">
        <f t="shared" si="0"/>
        <v>----</v>
      </c>
    </row>
    <row r="9" spans="1:9">
      <c r="A9" s="540"/>
      <c r="B9" s="108" t="s">
        <v>413</v>
      </c>
      <c r="C9" s="90">
        <v>151726.25</v>
      </c>
      <c r="D9" s="440">
        <v>0</v>
      </c>
      <c r="E9" s="90">
        <v>0</v>
      </c>
      <c r="F9" s="86">
        <f t="shared" si="0"/>
        <v>0</v>
      </c>
      <c r="G9" t="s">
        <v>718</v>
      </c>
    </row>
    <row r="10" spans="1:9">
      <c r="A10" s="107">
        <v>44516</v>
      </c>
      <c r="B10" s="108" t="s">
        <v>475</v>
      </c>
      <c r="C10" s="90">
        <v>283612.98</v>
      </c>
      <c r="D10" s="90">
        <f>C10</f>
        <v>283612.98</v>
      </c>
      <c r="E10" s="90">
        <v>282754.26</v>
      </c>
      <c r="F10" s="86">
        <f t="shared" si="0"/>
        <v>-858.71999999997206</v>
      </c>
    </row>
    <row r="11" spans="1:9">
      <c r="A11" s="107"/>
      <c r="B11" s="108"/>
      <c r="C11" s="90"/>
      <c r="D11" s="90"/>
      <c r="E11" s="90"/>
      <c r="F11" s="86" t="str">
        <f t="shared" si="0"/>
        <v>----</v>
      </c>
    </row>
    <row r="12" spans="1:9">
      <c r="A12" s="107"/>
      <c r="B12" s="108"/>
      <c r="C12" s="90"/>
      <c r="D12" s="90"/>
      <c r="E12" s="90"/>
      <c r="F12" s="86" t="str">
        <f t="shared" si="0"/>
        <v>----</v>
      </c>
    </row>
    <row r="13" spans="1:9">
      <c r="A13" s="107"/>
      <c r="B13" s="108"/>
      <c r="C13" s="90"/>
      <c r="D13" s="90"/>
      <c r="E13" s="90"/>
      <c r="F13" s="86" t="str">
        <f t="shared" si="0"/>
        <v>----</v>
      </c>
    </row>
    <row r="14" spans="1:9">
      <c r="A14" s="107"/>
      <c r="B14" s="108"/>
      <c r="C14" s="90"/>
      <c r="D14" s="90"/>
      <c r="E14" s="90"/>
      <c r="F14" s="86" t="str">
        <f t="shared" si="0"/>
        <v>----</v>
      </c>
    </row>
    <row r="15" spans="1:9">
      <c r="A15" s="107"/>
      <c r="B15" s="108"/>
      <c r="C15" s="90"/>
      <c r="D15" s="90"/>
      <c r="E15" s="90"/>
      <c r="F15" s="86" t="str">
        <f t="shared" si="0"/>
        <v>----</v>
      </c>
    </row>
    <row r="16" spans="1:9">
      <c r="A16" s="107"/>
      <c r="B16" s="108"/>
      <c r="C16" s="90"/>
      <c r="D16" s="90"/>
      <c r="E16" s="90"/>
      <c r="F16" s="86" t="str">
        <f t="shared" si="0"/>
        <v>----</v>
      </c>
      <c r="I16" s="439"/>
    </row>
    <row r="17" spans="1:6">
      <c r="A17" s="123"/>
      <c r="B17" s="124"/>
      <c r="C17" s="125"/>
      <c r="D17" s="125"/>
      <c r="E17" s="125"/>
      <c r="F17" s="86" t="str">
        <f t="shared" si="0"/>
        <v>----</v>
      </c>
    </row>
    <row r="18" spans="1:6" ht="15.75" thickBot="1">
      <c r="A18" s="75"/>
      <c r="B18" s="76"/>
      <c r="C18" s="77"/>
      <c r="D18" s="77"/>
      <c r="E18" s="77"/>
      <c r="F18" s="78" t="str">
        <f>IF(ISBLANK($E18),"----",$E18-$D18)</f>
        <v>----</v>
      </c>
    </row>
    <row r="19" spans="1:6" ht="15.75" thickBot="1">
      <c r="A19" s="28"/>
      <c r="B19" s="28"/>
      <c r="C19" s="29"/>
      <c r="D19" s="29"/>
      <c r="E19" s="29"/>
      <c r="F19" s="70">
        <f>SUM(F3:F18)</f>
        <v>20392.270000000019</v>
      </c>
    </row>
  </sheetData>
  <mergeCells count="2">
    <mergeCell ref="A1:F1"/>
    <mergeCell ref="A8:A9"/>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F25"/>
  <sheetViews>
    <sheetView workbookViewId="0">
      <selection activeCell="E4" sqref="E4"/>
    </sheetView>
  </sheetViews>
  <sheetFormatPr defaultRowHeight="15"/>
  <cols>
    <col min="2" max="2" width="20.5703125" bestFit="1" customWidth="1"/>
    <col min="3" max="3" width="10.7109375" bestFit="1" customWidth="1"/>
    <col min="4" max="4" width="13" customWidth="1"/>
    <col min="5" max="5" width="10.140625" bestFit="1" customWidth="1"/>
    <col min="6" max="6" width="14.85546875" customWidth="1"/>
  </cols>
  <sheetData>
    <row r="1" spans="1:6" ht="15.75" thickBot="1">
      <c r="A1" s="530" t="s">
        <v>235</v>
      </c>
      <c r="B1" s="531"/>
      <c r="C1" s="531"/>
      <c r="D1" s="531"/>
      <c r="E1" s="531"/>
      <c r="F1" s="532"/>
    </row>
    <row r="2" spans="1:6" ht="46.5" thickBot="1">
      <c r="A2" s="25" t="s">
        <v>110</v>
      </c>
      <c r="B2" s="79" t="s">
        <v>111</v>
      </c>
      <c r="C2" s="80" t="s">
        <v>112</v>
      </c>
      <c r="D2" s="80" t="s">
        <v>120</v>
      </c>
      <c r="E2" s="80" t="s">
        <v>121</v>
      </c>
      <c r="F2" s="26" t="s">
        <v>113</v>
      </c>
    </row>
    <row r="3" spans="1:6">
      <c r="A3" s="71">
        <v>43942</v>
      </c>
      <c r="B3" s="72" t="s">
        <v>236</v>
      </c>
      <c r="C3" s="73">
        <v>259260</v>
      </c>
      <c r="D3" s="73">
        <f>C3</f>
        <v>259260</v>
      </c>
      <c r="E3" s="73"/>
      <c r="F3" s="74" t="str">
        <f>IF(ISBLANK($E3),"----",$E3-$D3)</f>
        <v>----</v>
      </c>
    </row>
    <row r="4" spans="1:6">
      <c r="A4" s="91">
        <v>44516</v>
      </c>
      <c r="B4" s="124" t="s">
        <v>476</v>
      </c>
      <c r="C4" s="85">
        <v>187276.5</v>
      </c>
      <c r="D4" s="85">
        <f>C4</f>
        <v>187276.5</v>
      </c>
      <c r="E4" s="85">
        <v>183140.66</v>
      </c>
      <c r="F4" s="86">
        <f t="shared" ref="F4:F22" si="0">IF(ISBLANK($E4),"----",$E4-$D4)</f>
        <v>-4135.8399999999965</v>
      </c>
    </row>
    <row r="5" spans="1:6">
      <c r="A5" s="107">
        <v>45097</v>
      </c>
      <c r="B5" s="108" t="s">
        <v>675</v>
      </c>
      <c r="C5" s="90">
        <v>461199</v>
      </c>
      <c r="D5" s="90">
        <f>C5</f>
        <v>461199</v>
      </c>
      <c r="E5" s="90"/>
      <c r="F5" s="122" t="str">
        <f t="shared" si="0"/>
        <v>----</v>
      </c>
    </row>
    <row r="6" spans="1:6">
      <c r="A6" s="107"/>
      <c r="B6" s="108"/>
      <c r="C6" s="90"/>
      <c r="D6" s="90"/>
      <c r="E6" s="90"/>
      <c r="F6" s="122" t="str">
        <f t="shared" si="0"/>
        <v>----</v>
      </c>
    </row>
    <row r="7" spans="1:6">
      <c r="A7" s="107"/>
      <c r="B7" s="108"/>
      <c r="C7" s="90"/>
      <c r="D7" s="90"/>
      <c r="E7" s="90"/>
      <c r="F7" s="122" t="str">
        <f t="shared" si="0"/>
        <v>----</v>
      </c>
    </row>
    <row r="8" spans="1:6">
      <c r="A8" s="107"/>
      <c r="B8" s="108"/>
      <c r="C8" s="90"/>
      <c r="D8" s="90"/>
      <c r="E8" s="90"/>
      <c r="F8" s="122" t="str">
        <f t="shared" si="0"/>
        <v>----</v>
      </c>
    </row>
    <row r="9" spans="1:6">
      <c r="A9" s="107"/>
      <c r="B9" s="108"/>
      <c r="C9" s="90"/>
      <c r="D9" s="90"/>
      <c r="E9" s="90"/>
      <c r="F9" s="122" t="str">
        <f t="shared" si="0"/>
        <v>----</v>
      </c>
    </row>
    <row r="10" spans="1:6">
      <c r="A10" s="107"/>
      <c r="B10" s="108"/>
      <c r="C10" s="90"/>
      <c r="D10" s="90"/>
      <c r="E10" s="90"/>
      <c r="F10" s="122" t="str">
        <f t="shared" si="0"/>
        <v>----</v>
      </c>
    </row>
    <row r="11" spans="1:6">
      <c r="A11" s="107"/>
      <c r="B11" s="108"/>
      <c r="C11" s="90"/>
      <c r="D11" s="90"/>
      <c r="E11" s="90"/>
      <c r="F11" s="122" t="str">
        <f t="shared" si="0"/>
        <v>----</v>
      </c>
    </row>
    <row r="12" spans="1:6">
      <c r="A12" s="107"/>
      <c r="B12" s="108"/>
      <c r="C12" s="90"/>
      <c r="D12" s="90"/>
      <c r="E12" s="90"/>
      <c r="F12" s="122" t="str">
        <f t="shared" si="0"/>
        <v>----</v>
      </c>
    </row>
    <row r="13" spans="1:6">
      <c r="A13" s="107"/>
      <c r="B13" s="108"/>
      <c r="C13" s="90"/>
      <c r="D13" s="90"/>
      <c r="E13" s="90"/>
      <c r="F13" s="122" t="str">
        <f t="shared" si="0"/>
        <v>----</v>
      </c>
    </row>
    <row r="14" spans="1:6">
      <c r="A14" s="107"/>
      <c r="B14" s="108"/>
      <c r="C14" s="90"/>
      <c r="D14" s="90"/>
      <c r="E14" s="90"/>
      <c r="F14" s="122" t="str">
        <f t="shared" si="0"/>
        <v>----</v>
      </c>
    </row>
    <row r="15" spans="1:6">
      <c r="A15" s="107"/>
      <c r="B15" s="108"/>
      <c r="C15" s="90"/>
      <c r="D15" s="90"/>
      <c r="E15" s="90"/>
      <c r="F15" s="122" t="str">
        <f t="shared" si="0"/>
        <v>----</v>
      </c>
    </row>
    <row r="16" spans="1:6">
      <c r="A16" s="107"/>
      <c r="B16" s="108"/>
      <c r="C16" s="90"/>
      <c r="D16" s="90"/>
      <c r="E16" s="90"/>
      <c r="F16" s="122" t="str">
        <f t="shared" si="0"/>
        <v>----</v>
      </c>
    </row>
    <row r="17" spans="1:6">
      <c r="A17" s="107"/>
      <c r="B17" s="108"/>
      <c r="C17" s="90"/>
      <c r="D17" s="90"/>
      <c r="E17" s="90"/>
      <c r="F17" s="122" t="str">
        <f t="shared" si="0"/>
        <v>----</v>
      </c>
    </row>
    <row r="18" spans="1:6">
      <c r="A18" s="107"/>
      <c r="B18" s="108"/>
      <c r="C18" s="90"/>
      <c r="D18" s="90"/>
      <c r="E18" s="90"/>
      <c r="F18" s="122" t="str">
        <f t="shared" si="0"/>
        <v>----</v>
      </c>
    </row>
    <row r="19" spans="1:6">
      <c r="A19" s="107"/>
      <c r="B19" s="108"/>
      <c r="C19" s="90"/>
      <c r="D19" s="90"/>
      <c r="E19" s="90"/>
      <c r="F19" s="122" t="str">
        <f t="shared" si="0"/>
        <v>----</v>
      </c>
    </row>
    <row r="20" spans="1:6">
      <c r="A20" s="107"/>
      <c r="B20" s="108"/>
      <c r="C20" s="90"/>
      <c r="D20" s="90"/>
      <c r="E20" s="90"/>
      <c r="F20" s="122" t="str">
        <f t="shared" si="0"/>
        <v>----</v>
      </c>
    </row>
    <row r="21" spans="1:6">
      <c r="A21" s="107"/>
      <c r="B21" s="108"/>
      <c r="C21" s="90"/>
      <c r="D21" s="90"/>
      <c r="E21" s="90"/>
      <c r="F21" s="122" t="str">
        <f t="shared" si="0"/>
        <v>----</v>
      </c>
    </row>
    <row r="22" spans="1:6">
      <c r="A22" s="107"/>
      <c r="B22" s="108"/>
      <c r="C22" s="90"/>
      <c r="D22" s="90"/>
      <c r="E22" s="90"/>
      <c r="F22" s="122" t="str">
        <f t="shared" si="0"/>
        <v>----</v>
      </c>
    </row>
    <row r="23" spans="1:6">
      <c r="A23" s="123"/>
      <c r="B23" s="124"/>
      <c r="C23" s="125"/>
      <c r="D23" s="125"/>
      <c r="E23" s="125"/>
      <c r="F23" s="126" t="str">
        <f>IF(ISBLANK($E23),"----",$E23-$D23)</f>
        <v>----</v>
      </c>
    </row>
    <row r="24" spans="1:6" ht="15.75" thickBot="1">
      <c r="A24" s="75"/>
      <c r="B24" s="76"/>
      <c r="C24" s="77"/>
      <c r="D24" s="77"/>
      <c r="E24" s="77"/>
      <c r="F24" s="78" t="str">
        <f>IF(ISBLANK($E24),"----",$E24-$D24)</f>
        <v>----</v>
      </c>
    </row>
    <row r="25" spans="1:6" ht="15.75" thickBot="1">
      <c r="A25" s="28"/>
      <c r="B25" s="28"/>
      <c r="C25" s="29"/>
      <c r="D25" s="29"/>
      <c r="E25" s="29"/>
      <c r="F25" s="70">
        <f>SUM(F3:F24)</f>
        <v>-4135.8399999999965</v>
      </c>
    </row>
  </sheetData>
  <mergeCells count="1">
    <mergeCell ref="A1:F1"/>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G19"/>
  <sheetViews>
    <sheetView workbookViewId="0">
      <selection activeCell="E9" sqref="E3:E9"/>
    </sheetView>
  </sheetViews>
  <sheetFormatPr defaultRowHeight="15"/>
  <cols>
    <col min="2" max="2" width="23.7109375" bestFit="1" customWidth="1"/>
    <col min="3" max="4" width="12" bestFit="1" customWidth="1"/>
    <col min="5" max="5" width="10.28515625" customWidth="1"/>
    <col min="6" max="6" width="11.28515625" customWidth="1"/>
  </cols>
  <sheetData>
    <row r="1" spans="1:7" ht="15.75" thickBot="1">
      <c r="A1" s="530" t="s">
        <v>142</v>
      </c>
      <c r="B1" s="531"/>
      <c r="C1" s="531"/>
      <c r="D1" s="531"/>
      <c r="E1" s="531"/>
      <c r="F1" s="532"/>
    </row>
    <row r="2" spans="1:7" ht="57.75" thickBot="1">
      <c r="A2" s="25" t="s">
        <v>110</v>
      </c>
      <c r="B2" s="79" t="s">
        <v>111</v>
      </c>
      <c r="C2" s="80" t="s">
        <v>112</v>
      </c>
      <c r="D2" s="80" t="s">
        <v>120</v>
      </c>
      <c r="E2" s="80" t="s">
        <v>121</v>
      </c>
      <c r="F2" s="26" t="s">
        <v>113</v>
      </c>
    </row>
    <row r="3" spans="1:7">
      <c r="A3" s="71">
        <v>43788</v>
      </c>
      <c r="B3" s="72" t="s">
        <v>143</v>
      </c>
      <c r="C3" s="73">
        <v>328326.3</v>
      </c>
      <c r="D3" s="73">
        <v>262661.03999999998</v>
      </c>
      <c r="E3" s="73"/>
      <c r="F3" s="74" t="str">
        <f>IF(ISBLANK($E3),"----",$E3-$D3)</f>
        <v>----</v>
      </c>
    </row>
    <row r="4" spans="1:7">
      <c r="A4" s="134">
        <v>43852</v>
      </c>
      <c r="B4" s="135" t="s">
        <v>491</v>
      </c>
      <c r="C4" s="136">
        <v>1256405</v>
      </c>
      <c r="D4" s="136">
        <f>C4</f>
        <v>1256405</v>
      </c>
      <c r="E4" s="136">
        <v>1301422.8500000001</v>
      </c>
      <c r="F4" s="137">
        <f>IF(ISBLANK($E4),"----",$E4-$D4)</f>
        <v>45017.850000000093</v>
      </c>
    </row>
    <row r="5" spans="1:7">
      <c r="A5" s="127">
        <v>44271</v>
      </c>
      <c r="B5" s="128" t="s">
        <v>414</v>
      </c>
      <c r="C5" s="129">
        <v>994507.7</v>
      </c>
      <c r="D5" s="129">
        <f>C5</f>
        <v>994507.7</v>
      </c>
      <c r="E5" s="129">
        <v>992265.24</v>
      </c>
      <c r="F5" s="137">
        <f t="shared" ref="F5:F17" si="0">IF(ISBLANK($E5),"----",$E5-$D5)</f>
        <v>-2242.4599999999627</v>
      </c>
    </row>
    <row r="6" spans="1:7">
      <c r="A6" s="127">
        <v>44551</v>
      </c>
      <c r="B6" s="284" t="s">
        <v>489</v>
      </c>
      <c r="C6" s="129">
        <v>2704940.95</v>
      </c>
      <c r="D6" s="129">
        <v>722742.69</v>
      </c>
      <c r="E6" s="129">
        <v>633219.99</v>
      </c>
      <c r="F6" s="137">
        <f t="shared" si="0"/>
        <v>-89522.699999999953</v>
      </c>
      <c r="G6" t="s">
        <v>490</v>
      </c>
    </row>
    <row r="7" spans="1:7">
      <c r="A7" s="127">
        <v>44915</v>
      </c>
      <c r="B7" s="128" t="s">
        <v>638</v>
      </c>
      <c r="C7" s="129">
        <v>202838</v>
      </c>
      <c r="D7" s="129">
        <f>C7</f>
        <v>202838</v>
      </c>
      <c r="E7" s="129"/>
      <c r="F7" s="137" t="str">
        <f t="shared" si="0"/>
        <v>----</v>
      </c>
    </row>
    <row r="8" spans="1:7">
      <c r="A8" s="127">
        <v>44915</v>
      </c>
      <c r="B8" s="128" t="s">
        <v>639</v>
      </c>
      <c r="C8" s="129">
        <v>190736.15</v>
      </c>
      <c r="D8" s="129">
        <f>C8</f>
        <v>190736.15</v>
      </c>
      <c r="E8" s="129"/>
      <c r="F8" s="137" t="str">
        <f t="shared" si="0"/>
        <v>----</v>
      </c>
    </row>
    <row r="9" spans="1:7">
      <c r="A9" s="127">
        <v>44915</v>
      </c>
      <c r="B9" s="128" t="s">
        <v>640</v>
      </c>
      <c r="C9" s="129">
        <v>303923.34999999998</v>
      </c>
      <c r="D9" s="129">
        <f>C9</f>
        <v>303923.34999999998</v>
      </c>
      <c r="E9" s="129"/>
      <c r="F9" s="137" t="str">
        <f t="shared" si="0"/>
        <v>----</v>
      </c>
    </row>
    <row r="10" spans="1:7">
      <c r="A10" s="127"/>
      <c r="B10" s="128"/>
      <c r="C10" s="129"/>
      <c r="D10" s="129"/>
      <c r="E10" s="129"/>
      <c r="F10" s="137" t="str">
        <f t="shared" si="0"/>
        <v>----</v>
      </c>
    </row>
    <row r="11" spans="1:7">
      <c r="A11" s="127"/>
      <c r="B11" s="128"/>
      <c r="C11" s="129"/>
      <c r="D11" s="129"/>
      <c r="E11" s="129"/>
      <c r="F11" s="137" t="str">
        <f t="shared" si="0"/>
        <v>----</v>
      </c>
    </row>
    <row r="12" spans="1:7">
      <c r="A12" s="127"/>
      <c r="B12" s="128"/>
      <c r="C12" s="129"/>
      <c r="D12" s="129"/>
      <c r="E12" s="129"/>
      <c r="F12" s="137" t="str">
        <f t="shared" si="0"/>
        <v>----</v>
      </c>
    </row>
    <row r="13" spans="1:7">
      <c r="A13" s="127"/>
      <c r="B13" s="128"/>
      <c r="C13" s="129"/>
      <c r="D13" s="129"/>
      <c r="E13" s="129"/>
      <c r="F13" s="137" t="str">
        <f t="shared" si="0"/>
        <v>----</v>
      </c>
    </row>
    <row r="14" spans="1:7">
      <c r="A14" s="127"/>
      <c r="B14" s="128"/>
      <c r="C14" s="129"/>
      <c r="D14" s="129"/>
      <c r="E14" s="129"/>
      <c r="F14" s="137" t="str">
        <f t="shared" si="0"/>
        <v>----</v>
      </c>
    </row>
    <row r="15" spans="1:7">
      <c r="A15" s="127"/>
      <c r="B15" s="128"/>
      <c r="C15" s="129"/>
      <c r="D15" s="129"/>
      <c r="E15" s="129"/>
      <c r="F15" s="137" t="str">
        <f t="shared" si="0"/>
        <v>----</v>
      </c>
    </row>
    <row r="16" spans="1:7">
      <c r="A16" s="127"/>
      <c r="B16" s="128"/>
      <c r="C16" s="129"/>
      <c r="D16" s="129"/>
      <c r="E16" s="129"/>
      <c r="F16" s="137" t="str">
        <f t="shared" si="0"/>
        <v>----</v>
      </c>
    </row>
    <row r="17" spans="1:6">
      <c r="A17" s="130"/>
      <c r="B17" s="131"/>
      <c r="C17" s="132"/>
      <c r="D17" s="132"/>
      <c r="E17" s="132"/>
      <c r="F17" s="137" t="str">
        <f t="shared" si="0"/>
        <v>----</v>
      </c>
    </row>
    <row r="18" spans="1:6" ht="15.75" thickBot="1">
      <c r="A18" s="75"/>
      <c r="B18" s="76"/>
      <c r="C18" s="77"/>
      <c r="D18" s="77"/>
      <c r="E18" s="77"/>
      <c r="F18" s="78" t="str">
        <f>IF(ISBLANK($E18),"----",$E18-$D18)</f>
        <v>----</v>
      </c>
    </row>
    <row r="19" spans="1:6" ht="15.75" thickBot="1">
      <c r="A19" s="28"/>
      <c r="B19" s="28"/>
      <c r="C19" s="29"/>
      <c r="D19" s="29"/>
      <c r="E19" s="29"/>
      <c r="F19" s="70">
        <f>SUM(F3:F18)</f>
        <v>-46747.309999999823</v>
      </c>
    </row>
  </sheetData>
  <mergeCells count="1">
    <mergeCell ref="A1:F1"/>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G22"/>
  <sheetViews>
    <sheetView workbookViewId="0">
      <selection activeCell="D11" sqref="D11"/>
    </sheetView>
  </sheetViews>
  <sheetFormatPr defaultRowHeight="15"/>
  <cols>
    <col min="2" max="2" width="23.42578125" bestFit="1" customWidth="1"/>
    <col min="3" max="3" width="12" bestFit="1" customWidth="1"/>
    <col min="4" max="4" width="12" customWidth="1"/>
    <col min="6" max="6" width="11.42578125" customWidth="1"/>
  </cols>
  <sheetData>
    <row r="1" spans="1:7" ht="15.75" thickBot="1">
      <c r="A1" s="530" t="s">
        <v>286</v>
      </c>
      <c r="B1" s="531"/>
      <c r="C1" s="531"/>
      <c r="D1" s="531"/>
      <c r="E1" s="531"/>
      <c r="F1" s="532"/>
    </row>
    <row r="2" spans="1:7" ht="57.75" thickBot="1">
      <c r="A2" s="25" t="s">
        <v>110</v>
      </c>
      <c r="B2" s="79" t="s">
        <v>111</v>
      </c>
      <c r="C2" s="80" t="s">
        <v>112</v>
      </c>
      <c r="D2" s="80" t="s">
        <v>120</v>
      </c>
      <c r="E2" s="80" t="s">
        <v>121</v>
      </c>
      <c r="F2" s="26" t="s">
        <v>113</v>
      </c>
    </row>
    <row r="3" spans="1:7">
      <c r="A3" s="71">
        <v>43998</v>
      </c>
      <c r="B3" s="72" t="s">
        <v>386</v>
      </c>
      <c r="C3" s="73">
        <v>603460.9</v>
      </c>
      <c r="D3" s="73">
        <f>C3</f>
        <v>603460.9</v>
      </c>
      <c r="E3" s="73"/>
      <c r="F3" s="74" t="str">
        <f>IF(ISBLANK($E3),"----",$E3-$D3)</f>
        <v>----</v>
      </c>
    </row>
    <row r="4" spans="1:7">
      <c r="A4" s="113">
        <v>43998</v>
      </c>
      <c r="B4" s="112" t="s">
        <v>295</v>
      </c>
      <c r="C4" s="114">
        <v>501470</v>
      </c>
      <c r="D4" s="114">
        <v>0</v>
      </c>
      <c r="E4" s="114"/>
      <c r="F4" s="115" t="str">
        <f>IF(ISBLANK($E4),"----",$E4-$D4)</f>
        <v>----</v>
      </c>
      <c r="G4" t="s">
        <v>296</v>
      </c>
    </row>
    <row r="5" spans="1:7">
      <c r="A5" s="94">
        <v>44061</v>
      </c>
      <c r="B5" s="95" t="s">
        <v>385</v>
      </c>
      <c r="C5" s="87">
        <v>973940.25</v>
      </c>
      <c r="D5" s="87">
        <v>973940.25</v>
      </c>
      <c r="E5" s="87"/>
      <c r="F5" s="115" t="str">
        <f t="shared" ref="F5:F20" si="0">IF(ISBLANK($E5),"----",$E5-$D5)</f>
        <v>----</v>
      </c>
    </row>
    <row r="6" spans="1:7">
      <c r="A6" s="539">
        <v>44216</v>
      </c>
      <c r="B6" s="108" t="s">
        <v>387</v>
      </c>
      <c r="C6" s="90">
        <v>907170.4</v>
      </c>
      <c r="D6" s="90">
        <v>306350.40000000002</v>
      </c>
      <c r="E6" s="90"/>
      <c r="F6" s="115" t="str">
        <f t="shared" si="0"/>
        <v>----</v>
      </c>
    </row>
    <row r="7" spans="1:7">
      <c r="A7" s="540"/>
      <c r="B7" s="108" t="s">
        <v>388</v>
      </c>
      <c r="C7" s="90">
        <v>631337.55000000005</v>
      </c>
      <c r="D7" s="90">
        <v>167067.54999999999</v>
      </c>
      <c r="E7" s="90"/>
      <c r="F7" s="115" t="str">
        <f t="shared" si="0"/>
        <v>----</v>
      </c>
    </row>
    <row r="8" spans="1:7">
      <c r="A8" s="107">
        <v>44698</v>
      </c>
      <c r="B8" s="108" t="s">
        <v>522</v>
      </c>
      <c r="C8" s="90">
        <v>1542860.84</v>
      </c>
      <c r="D8" s="90">
        <f>C8</f>
        <v>1542860.84</v>
      </c>
      <c r="E8" s="90"/>
      <c r="F8" s="115" t="str">
        <f t="shared" si="0"/>
        <v>----</v>
      </c>
    </row>
    <row r="9" spans="1:7">
      <c r="A9" s="107">
        <v>44698</v>
      </c>
      <c r="B9" s="108" t="s">
        <v>523</v>
      </c>
      <c r="C9" s="90">
        <v>541346.30000000005</v>
      </c>
      <c r="D9" s="90">
        <f>C9</f>
        <v>541346.30000000005</v>
      </c>
      <c r="E9" s="90"/>
      <c r="F9" s="115" t="str">
        <f t="shared" si="0"/>
        <v>----</v>
      </c>
    </row>
    <row r="10" spans="1:7">
      <c r="A10" s="107">
        <v>45006</v>
      </c>
      <c r="B10" s="108" t="s">
        <v>664</v>
      </c>
      <c r="C10" s="415">
        <v>1132113.1000000001</v>
      </c>
      <c r="D10" s="415">
        <f>C10</f>
        <v>1132113.1000000001</v>
      </c>
      <c r="E10" s="90"/>
      <c r="F10" s="115" t="str">
        <f t="shared" si="0"/>
        <v>----</v>
      </c>
    </row>
    <row r="11" spans="1:7">
      <c r="A11" s="107"/>
      <c r="B11" s="108"/>
      <c r="C11" s="90"/>
      <c r="D11" s="90"/>
      <c r="E11" s="90"/>
      <c r="F11" s="115" t="str">
        <f t="shared" si="0"/>
        <v>----</v>
      </c>
    </row>
    <row r="12" spans="1:7">
      <c r="A12" s="107"/>
      <c r="B12" s="108"/>
      <c r="C12" s="90"/>
      <c r="D12" s="90"/>
      <c r="E12" s="90"/>
      <c r="F12" s="115" t="str">
        <f t="shared" si="0"/>
        <v>----</v>
      </c>
    </row>
    <row r="13" spans="1:7">
      <c r="A13" s="107"/>
      <c r="B13" s="108"/>
      <c r="C13" s="90"/>
      <c r="D13" s="90"/>
      <c r="E13" s="90"/>
      <c r="F13" s="115" t="str">
        <f t="shared" si="0"/>
        <v>----</v>
      </c>
    </row>
    <row r="14" spans="1:7">
      <c r="A14" s="107"/>
      <c r="B14" s="108"/>
      <c r="C14" s="90"/>
      <c r="D14" s="90"/>
      <c r="E14" s="90"/>
      <c r="F14" s="115" t="str">
        <f t="shared" si="0"/>
        <v>----</v>
      </c>
    </row>
    <row r="15" spans="1:7">
      <c r="A15" s="107"/>
      <c r="B15" s="108"/>
      <c r="C15" s="90"/>
      <c r="D15" s="90"/>
      <c r="E15" s="90"/>
      <c r="F15" s="115" t="str">
        <f t="shared" si="0"/>
        <v>----</v>
      </c>
    </row>
    <row r="16" spans="1:7">
      <c r="A16" s="107"/>
      <c r="B16" s="108"/>
      <c r="C16" s="90"/>
      <c r="D16" s="90"/>
      <c r="E16" s="90"/>
      <c r="F16" s="115" t="str">
        <f t="shared" si="0"/>
        <v>----</v>
      </c>
    </row>
    <row r="17" spans="1:6">
      <c r="A17" s="107"/>
      <c r="B17" s="108"/>
      <c r="C17" s="90"/>
      <c r="D17" s="90"/>
      <c r="E17" s="90"/>
      <c r="F17" s="115" t="str">
        <f t="shared" si="0"/>
        <v>----</v>
      </c>
    </row>
    <row r="18" spans="1:6">
      <c r="A18" s="107"/>
      <c r="B18" s="108"/>
      <c r="C18" s="90"/>
      <c r="D18" s="90"/>
      <c r="E18" s="90"/>
      <c r="F18" s="115" t="str">
        <f t="shared" si="0"/>
        <v>----</v>
      </c>
    </row>
    <row r="19" spans="1:6">
      <c r="A19" s="107"/>
      <c r="B19" s="108"/>
      <c r="C19" s="90"/>
      <c r="D19" s="90"/>
      <c r="E19" s="90"/>
      <c r="F19" s="115" t="str">
        <f t="shared" si="0"/>
        <v>----</v>
      </c>
    </row>
    <row r="20" spans="1:6">
      <c r="A20" s="123"/>
      <c r="B20" s="124"/>
      <c r="C20" s="125"/>
      <c r="D20" s="125"/>
      <c r="E20" s="125"/>
      <c r="F20" s="115" t="str">
        <f t="shared" si="0"/>
        <v>----</v>
      </c>
    </row>
    <row r="21" spans="1:6" ht="15.75" thickBot="1">
      <c r="A21" s="75"/>
      <c r="B21" s="76"/>
      <c r="C21" s="77"/>
      <c r="D21" s="77"/>
      <c r="E21" s="77"/>
      <c r="F21" s="78" t="str">
        <f>IF(ISBLANK($E21),"----",$E21-$D21)</f>
        <v>----</v>
      </c>
    </row>
    <row r="22" spans="1:6" ht="15.75" thickBot="1">
      <c r="A22" s="28"/>
      <c r="B22" s="28"/>
      <c r="C22" s="29"/>
      <c r="D22" s="29"/>
      <c r="E22" s="29"/>
      <c r="F22" s="70">
        <f>SUM(F3:F21)</f>
        <v>0</v>
      </c>
    </row>
  </sheetData>
  <mergeCells count="2">
    <mergeCell ref="A1:F1"/>
    <mergeCell ref="A6:A7"/>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F21"/>
  <sheetViews>
    <sheetView workbookViewId="0">
      <selection activeCell="C2" sqref="C1:C1048576"/>
    </sheetView>
  </sheetViews>
  <sheetFormatPr defaultRowHeight="15"/>
  <cols>
    <col min="2" max="2" width="21.5703125" bestFit="1" customWidth="1"/>
    <col min="3" max="3" width="10.140625" bestFit="1" customWidth="1"/>
    <col min="4" max="4" width="11.7109375" customWidth="1"/>
    <col min="5" max="5" width="10.85546875" customWidth="1"/>
    <col min="6" max="6" width="13" customWidth="1"/>
  </cols>
  <sheetData>
    <row r="1" spans="1:6" ht="15.75" thickBot="1">
      <c r="A1" s="530" t="s">
        <v>159</v>
      </c>
      <c r="B1" s="531"/>
      <c r="C1" s="531"/>
      <c r="D1" s="531"/>
      <c r="E1" s="531"/>
      <c r="F1" s="532"/>
    </row>
    <row r="2" spans="1:6" ht="57.75" thickBot="1">
      <c r="A2" s="25" t="s">
        <v>110</v>
      </c>
      <c r="B2" s="79" t="s">
        <v>111</v>
      </c>
      <c r="C2" s="80" t="s">
        <v>112</v>
      </c>
      <c r="D2" s="80" t="s">
        <v>120</v>
      </c>
      <c r="E2" s="80" t="s">
        <v>121</v>
      </c>
      <c r="F2" s="26" t="s">
        <v>113</v>
      </c>
    </row>
    <row r="3" spans="1:6">
      <c r="A3" s="71">
        <v>43816</v>
      </c>
      <c r="B3" s="72" t="s">
        <v>160</v>
      </c>
      <c r="C3" s="73">
        <v>474997.6</v>
      </c>
      <c r="D3" s="73">
        <f>C3</f>
        <v>474997.6</v>
      </c>
      <c r="E3" s="73"/>
      <c r="F3" s="74" t="str">
        <f>IF(ISBLANK($E3),"----",$E3-$D3)</f>
        <v>----</v>
      </c>
    </row>
    <row r="4" spans="1:6">
      <c r="A4" s="91">
        <v>44271</v>
      </c>
      <c r="B4" s="106" t="s">
        <v>415</v>
      </c>
      <c r="C4" s="85">
        <v>165849.29999999999</v>
      </c>
      <c r="D4" s="85">
        <f>C4</f>
        <v>165849.29999999999</v>
      </c>
      <c r="E4" s="85"/>
      <c r="F4" s="126" t="str">
        <f t="shared" ref="F4:F18" si="0">IF(ISBLANK($E4),"----",$E4-$D4)</f>
        <v>----</v>
      </c>
    </row>
    <row r="5" spans="1:6">
      <c r="A5" s="107">
        <v>44271</v>
      </c>
      <c r="B5" s="108" t="s">
        <v>416</v>
      </c>
      <c r="C5" s="90">
        <v>535241.1</v>
      </c>
      <c r="D5" s="90">
        <v>357726.1</v>
      </c>
      <c r="E5" s="90"/>
      <c r="F5" s="126" t="str">
        <f t="shared" si="0"/>
        <v>----</v>
      </c>
    </row>
    <row r="6" spans="1:6">
      <c r="A6" s="107">
        <v>44516</v>
      </c>
      <c r="B6" s="108" t="s">
        <v>477</v>
      </c>
      <c r="C6" s="90">
        <v>209206.8</v>
      </c>
      <c r="D6" s="90">
        <f>C6</f>
        <v>209206.8</v>
      </c>
      <c r="E6" s="90"/>
      <c r="F6" s="126" t="str">
        <f t="shared" si="0"/>
        <v>----</v>
      </c>
    </row>
    <row r="7" spans="1:6">
      <c r="A7" s="107"/>
      <c r="B7" s="108"/>
      <c r="C7" s="90"/>
      <c r="D7" s="90"/>
      <c r="E7" s="90"/>
      <c r="F7" s="126" t="str">
        <f t="shared" si="0"/>
        <v>----</v>
      </c>
    </row>
    <row r="8" spans="1:6">
      <c r="A8" s="107"/>
      <c r="B8" s="108"/>
      <c r="C8" s="90"/>
      <c r="D8" s="90"/>
      <c r="E8" s="90"/>
      <c r="F8" s="126" t="str">
        <f t="shared" si="0"/>
        <v>----</v>
      </c>
    </row>
    <row r="9" spans="1:6">
      <c r="A9" s="107"/>
      <c r="B9" s="108"/>
      <c r="C9" s="90"/>
      <c r="D9" s="90"/>
      <c r="E9" s="90"/>
      <c r="F9" s="126" t="str">
        <f t="shared" si="0"/>
        <v>----</v>
      </c>
    </row>
    <row r="10" spans="1:6">
      <c r="A10" s="107"/>
      <c r="B10" s="108"/>
      <c r="C10" s="90"/>
      <c r="D10" s="90"/>
      <c r="E10" s="90"/>
      <c r="F10" s="126" t="str">
        <f t="shared" si="0"/>
        <v>----</v>
      </c>
    </row>
    <row r="11" spans="1:6">
      <c r="A11" s="107"/>
      <c r="B11" s="108"/>
      <c r="C11" s="90"/>
      <c r="D11" s="90"/>
      <c r="E11" s="90"/>
      <c r="F11" s="126" t="str">
        <f t="shared" si="0"/>
        <v>----</v>
      </c>
    </row>
    <row r="12" spans="1:6">
      <c r="A12" s="107"/>
      <c r="B12" s="108"/>
      <c r="C12" s="90"/>
      <c r="D12" s="90"/>
      <c r="E12" s="90"/>
      <c r="F12" s="126" t="str">
        <f t="shared" si="0"/>
        <v>----</v>
      </c>
    </row>
    <row r="13" spans="1:6">
      <c r="A13" s="107"/>
      <c r="B13" s="108"/>
      <c r="C13" s="90"/>
      <c r="D13" s="90"/>
      <c r="E13" s="90"/>
      <c r="F13" s="126" t="str">
        <f t="shared" si="0"/>
        <v>----</v>
      </c>
    </row>
    <row r="14" spans="1:6">
      <c r="A14" s="107"/>
      <c r="B14" s="108"/>
      <c r="C14" s="90"/>
      <c r="D14" s="90"/>
      <c r="E14" s="90"/>
      <c r="F14" s="126" t="str">
        <f t="shared" si="0"/>
        <v>----</v>
      </c>
    </row>
    <row r="15" spans="1:6">
      <c r="A15" s="107"/>
      <c r="B15" s="108"/>
      <c r="C15" s="90"/>
      <c r="D15" s="90"/>
      <c r="E15" s="90"/>
      <c r="F15" s="126" t="str">
        <f t="shared" si="0"/>
        <v>----</v>
      </c>
    </row>
    <row r="16" spans="1:6">
      <c r="A16" s="107"/>
      <c r="B16" s="108"/>
      <c r="C16" s="90"/>
      <c r="D16" s="90"/>
      <c r="E16" s="90"/>
      <c r="F16" s="126" t="str">
        <f t="shared" si="0"/>
        <v>----</v>
      </c>
    </row>
    <row r="17" spans="1:6">
      <c r="A17" s="107"/>
      <c r="B17" s="108"/>
      <c r="C17" s="90"/>
      <c r="D17" s="90"/>
      <c r="E17" s="90"/>
      <c r="F17" s="126" t="str">
        <f t="shared" si="0"/>
        <v>----</v>
      </c>
    </row>
    <row r="18" spans="1:6">
      <c r="A18" s="107"/>
      <c r="B18" s="108"/>
      <c r="C18" s="90"/>
      <c r="D18" s="90"/>
      <c r="E18" s="90"/>
      <c r="F18" s="126" t="str">
        <f t="shared" si="0"/>
        <v>----</v>
      </c>
    </row>
    <row r="19" spans="1:6">
      <c r="A19" s="123"/>
      <c r="B19" s="124"/>
      <c r="C19" s="125"/>
      <c r="D19" s="125"/>
      <c r="E19" s="125"/>
      <c r="F19" s="126" t="str">
        <f>IF(ISBLANK($E19),"----",$E19-$D19)</f>
        <v>----</v>
      </c>
    </row>
    <row r="20" spans="1:6" ht="15.75" thickBot="1">
      <c r="A20" s="75"/>
      <c r="B20" s="76"/>
      <c r="C20" s="77"/>
      <c r="D20" s="77"/>
      <c r="E20" s="77"/>
      <c r="F20" s="78" t="str">
        <f>IF(ISBLANK($E20),"----",$E20-$D20)</f>
        <v>----</v>
      </c>
    </row>
    <row r="21" spans="1:6" ht="15.75" thickBot="1">
      <c r="A21" s="28"/>
      <c r="B21" s="28"/>
      <c r="C21" s="29"/>
      <c r="D21" s="29"/>
      <c r="E21" s="29"/>
      <c r="F21" s="70">
        <f>SUM(F3:F20)</f>
        <v>0</v>
      </c>
    </row>
  </sheetData>
  <mergeCells count="1">
    <mergeCell ref="A1:F1"/>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G25"/>
  <sheetViews>
    <sheetView workbookViewId="0">
      <selection activeCell="C72" sqref="C72"/>
    </sheetView>
  </sheetViews>
  <sheetFormatPr defaultRowHeight="15"/>
  <cols>
    <col min="2" max="2" width="22.42578125" bestFit="1" customWidth="1"/>
    <col min="3" max="3" width="11.42578125" bestFit="1" customWidth="1"/>
    <col min="4" max="4" width="10.7109375" bestFit="1" customWidth="1"/>
  </cols>
  <sheetData>
    <row r="1" spans="1:7" ht="15.75" thickBot="1">
      <c r="A1" s="530" t="s">
        <v>287</v>
      </c>
      <c r="B1" s="531"/>
      <c r="C1" s="531"/>
      <c r="D1" s="531"/>
      <c r="E1" s="531"/>
      <c r="F1" s="532"/>
    </row>
    <row r="2" spans="1:7" ht="69" thickBot="1">
      <c r="A2" s="25" t="s">
        <v>110</v>
      </c>
      <c r="B2" s="79" t="s">
        <v>111</v>
      </c>
      <c r="C2" s="80" t="s">
        <v>112</v>
      </c>
      <c r="D2" s="80" t="s">
        <v>120</v>
      </c>
      <c r="E2" s="80" t="s">
        <v>121</v>
      </c>
      <c r="F2" s="26" t="s">
        <v>113</v>
      </c>
    </row>
    <row r="3" spans="1:7">
      <c r="A3" s="71">
        <v>44580</v>
      </c>
      <c r="B3" s="72" t="s">
        <v>500</v>
      </c>
      <c r="C3" s="73">
        <v>330320.53999999998</v>
      </c>
      <c r="D3" s="73">
        <f>C3</f>
        <v>330320.53999999998</v>
      </c>
      <c r="E3" s="73"/>
      <c r="F3" s="74" t="str">
        <f>IF(ISBLANK($E3),"----",$E3-$D3)</f>
        <v>----</v>
      </c>
    </row>
    <row r="4" spans="1:7">
      <c r="A4" s="91">
        <v>44944</v>
      </c>
      <c r="B4" s="106" t="s">
        <v>651</v>
      </c>
      <c r="C4" s="85">
        <v>571677.49</v>
      </c>
      <c r="D4" s="85">
        <f>C4</f>
        <v>571677.49</v>
      </c>
      <c r="E4" s="85"/>
      <c r="F4" s="86" t="str">
        <f t="shared" ref="F4:F21" si="0">IF(ISBLANK($E4),"----",$E4-$D4)</f>
        <v>----</v>
      </c>
    </row>
    <row r="5" spans="1:7">
      <c r="A5" s="94">
        <v>45188</v>
      </c>
      <c r="B5" s="95" t="s">
        <v>681</v>
      </c>
      <c r="C5" s="431">
        <v>1252888.1499999999</v>
      </c>
      <c r="D5" s="431">
        <f>C5-75000-1000000</f>
        <v>177888.14999999991</v>
      </c>
      <c r="E5" s="87"/>
      <c r="F5" s="88" t="str">
        <f t="shared" si="0"/>
        <v>----</v>
      </c>
      <c r="G5" t="s">
        <v>682</v>
      </c>
    </row>
    <row r="6" spans="1:7">
      <c r="A6" s="91"/>
      <c r="B6" s="106"/>
      <c r="C6" s="85"/>
      <c r="D6" s="85"/>
      <c r="E6" s="85"/>
      <c r="F6" s="86" t="str">
        <f t="shared" si="0"/>
        <v>----</v>
      </c>
    </row>
    <row r="7" spans="1:7">
      <c r="A7" s="94"/>
      <c r="B7" s="95"/>
      <c r="C7" s="87"/>
      <c r="D7" s="87"/>
      <c r="E7" s="87"/>
      <c r="F7" s="88" t="str">
        <f t="shared" si="0"/>
        <v>----</v>
      </c>
    </row>
    <row r="8" spans="1:7">
      <c r="A8" s="91"/>
      <c r="B8" s="106"/>
      <c r="C8" s="85"/>
      <c r="D8" s="85"/>
      <c r="E8" s="85"/>
      <c r="F8" s="86" t="str">
        <f t="shared" si="0"/>
        <v>----</v>
      </c>
    </row>
    <row r="9" spans="1:7">
      <c r="A9" s="94"/>
      <c r="B9" s="95"/>
      <c r="C9" s="87"/>
      <c r="D9" s="87"/>
      <c r="E9" s="87"/>
      <c r="F9" s="88" t="str">
        <f t="shared" si="0"/>
        <v>----</v>
      </c>
    </row>
    <row r="10" spans="1:7">
      <c r="A10" s="91"/>
      <c r="B10" s="106"/>
      <c r="C10" s="85"/>
      <c r="D10" s="85"/>
      <c r="E10" s="85"/>
      <c r="F10" s="86" t="str">
        <f t="shared" si="0"/>
        <v>----</v>
      </c>
    </row>
    <row r="11" spans="1:7">
      <c r="A11" s="94"/>
      <c r="B11" s="95"/>
      <c r="C11" s="87"/>
      <c r="D11" s="87"/>
      <c r="E11" s="87"/>
      <c r="F11" s="88" t="str">
        <f t="shared" si="0"/>
        <v>----</v>
      </c>
    </row>
    <row r="12" spans="1:7">
      <c r="A12" s="91"/>
      <c r="B12" s="106"/>
      <c r="C12" s="85"/>
      <c r="D12" s="85"/>
      <c r="E12" s="85"/>
      <c r="F12" s="86" t="str">
        <f t="shared" si="0"/>
        <v>----</v>
      </c>
    </row>
    <row r="13" spans="1:7">
      <c r="A13" s="94"/>
      <c r="B13" s="95"/>
      <c r="C13" s="87"/>
      <c r="D13" s="87"/>
      <c r="E13" s="87"/>
      <c r="F13" s="88" t="str">
        <f t="shared" si="0"/>
        <v>----</v>
      </c>
    </row>
    <row r="14" spans="1:7">
      <c r="A14" s="91"/>
      <c r="B14" s="106"/>
      <c r="C14" s="85"/>
      <c r="D14" s="85"/>
      <c r="E14" s="85"/>
      <c r="F14" s="86" t="str">
        <f t="shared" si="0"/>
        <v>----</v>
      </c>
    </row>
    <row r="15" spans="1:7">
      <c r="A15" s="94"/>
      <c r="B15" s="95"/>
      <c r="C15" s="87"/>
      <c r="D15" s="87"/>
      <c r="E15" s="87"/>
      <c r="F15" s="88" t="str">
        <f t="shared" si="0"/>
        <v>----</v>
      </c>
    </row>
    <row r="16" spans="1:7">
      <c r="A16" s="91"/>
      <c r="B16" s="106"/>
      <c r="C16" s="85"/>
      <c r="D16" s="85"/>
      <c r="E16" s="85"/>
      <c r="F16" s="86" t="str">
        <f t="shared" si="0"/>
        <v>----</v>
      </c>
    </row>
    <row r="17" spans="1:6">
      <c r="A17" s="94"/>
      <c r="B17" s="95"/>
      <c r="C17" s="87"/>
      <c r="D17" s="87"/>
      <c r="E17" s="87"/>
      <c r="F17" s="88" t="str">
        <f t="shared" si="0"/>
        <v>----</v>
      </c>
    </row>
    <row r="18" spans="1:6">
      <c r="A18" s="91"/>
      <c r="B18" s="106"/>
      <c r="C18" s="85"/>
      <c r="D18" s="85"/>
      <c r="E18" s="85"/>
      <c r="F18" s="86" t="str">
        <f t="shared" si="0"/>
        <v>----</v>
      </c>
    </row>
    <row r="19" spans="1:6">
      <c r="A19" s="94"/>
      <c r="B19" s="95"/>
      <c r="C19" s="87"/>
      <c r="D19" s="87"/>
      <c r="E19" s="87"/>
      <c r="F19" s="88" t="str">
        <f t="shared" si="0"/>
        <v>----</v>
      </c>
    </row>
    <row r="20" spans="1:6">
      <c r="A20" s="91"/>
      <c r="B20" s="106"/>
      <c r="C20" s="85"/>
      <c r="D20" s="85"/>
      <c r="E20" s="85"/>
      <c r="F20" s="86" t="str">
        <f t="shared" si="0"/>
        <v>----</v>
      </c>
    </row>
    <row r="21" spans="1:6">
      <c r="A21" s="94"/>
      <c r="B21" s="95"/>
      <c r="C21" s="87"/>
      <c r="D21" s="87"/>
      <c r="E21" s="87"/>
      <c r="F21" s="88" t="str">
        <f t="shared" si="0"/>
        <v>----</v>
      </c>
    </row>
    <row r="22" spans="1:6">
      <c r="A22" s="91"/>
      <c r="B22" s="106"/>
      <c r="C22" s="85"/>
      <c r="D22" s="85"/>
      <c r="E22" s="85"/>
      <c r="F22" s="86" t="str">
        <f>IF(ISBLANK($E22),"----",$E22-$D22)</f>
        <v>----</v>
      </c>
    </row>
    <row r="23" spans="1:6">
      <c r="A23" s="94"/>
      <c r="B23" s="95"/>
      <c r="C23" s="87"/>
      <c r="D23" s="87"/>
      <c r="E23" s="87"/>
      <c r="F23" s="88" t="str">
        <f>IF(ISBLANK($E23),"----",$E23-$D23)</f>
        <v>----</v>
      </c>
    </row>
    <row r="24" spans="1:6" ht="15.75" thickBot="1">
      <c r="A24" s="75"/>
      <c r="B24" s="76"/>
      <c r="C24" s="77"/>
      <c r="D24" s="77"/>
      <c r="E24" s="77"/>
      <c r="F24" s="78" t="str">
        <f>IF(ISBLANK($E24),"----",$E24-$D24)</f>
        <v>----</v>
      </c>
    </row>
    <row r="25" spans="1:6" ht="15.75" thickBot="1">
      <c r="A25" s="28"/>
      <c r="B25" s="28"/>
      <c r="C25" s="29"/>
      <c r="D25" s="29"/>
      <c r="E25" s="29"/>
      <c r="F25" s="70">
        <f>SUM(F3:F24)</f>
        <v>0</v>
      </c>
    </row>
  </sheetData>
  <mergeCells count="1">
    <mergeCell ref="A1:F1"/>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501</v>
      </c>
    </row>
    <row r="2" spans="1:11" ht="30">
      <c r="A2" s="141" t="s">
        <v>347</v>
      </c>
      <c r="B2" s="141" t="s">
        <v>348</v>
      </c>
      <c r="C2" s="285" t="s">
        <v>503</v>
      </c>
      <c r="D2" s="141" t="s">
        <v>349</v>
      </c>
      <c r="E2" s="141" t="s">
        <v>350</v>
      </c>
      <c r="F2" s="146" t="s">
        <v>351</v>
      </c>
      <c r="G2" s="146" t="s">
        <v>352</v>
      </c>
      <c r="H2" s="147" t="s">
        <v>353</v>
      </c>
      <c r="I2" s="147" t="s">
        <v>354</v>
      </c>
      <c r="J2" s="146"/>
    </row>
    <row r="3" spans="1:11">
      <c r="A3" s="144">
        <v>2015</v>
      </c>
      <c r="B3" s="145"/>
      <c r="C3" s="145"/>
      <c r="D3" s="145"/>
      <c r="E3" s="145">
        <v>32819164.27</v>
      </c>
      <c r="H3" s="142"/>
      <c r="I3" s="142"/>
    </row>
    <row r="4" spans="1:11">
      <c r="A4" s="144">
        <v>2016</v>
      </c>
      <c r="B4" s="145">
        <v>33117000</v>
      </c>
      <c r="C4" s="145"/>
      <c r="D4" s="145">
        <v>40950882.340000004</v>
      </c>
      <c r="E4" s="145">
        <v>24985281.93</v>
      </c>
      <c r="F4" s="22">
        <f>E3+B4-D4</f>
        <v>24985281.929999992</v>
      </c>
      <c r="G4" s="22">
        <f>E4-F4</f>
        <v>0</v>
      </c>
      <c r="H4" s="143">
        <f t="shared" ref="H4:H10" si="0">E4-E3</f>
        <v>-7833882.3399999999</v>
      </c>
      <c r="I4" s="143"/>
      <c r="J4" s="22"/>
    </row>
    <row r="5" spans="1:11">
      <c r="A5" s="142">
        <v>2017</v>
      </c>
      <c r="B5" s="143">
        <v>33236012</v>
      </c>
      <c r="C5" s="143"/>
      <c r="D5" s="143">
        <v>41705848.640000001</v>
      </c>
      <c r="E5" s="143">
        <v>16515445.300000001</v>
      </c>
      <c r="F5" s="22">
        <f t="shared" ref="F5:F9" si="1">E4+B5-D5</f>
        <v>16515445.289999999</v>
      </c>
      <c r="G5" s="22">
        <f t="shared" ref="G5:G9" si="2">E5-F5</f>
        <v>1.0000001639127731E-2</v>
      </c>
      <c r="H5" s="143">
        <f t="shared" si="0"/>
        <v>-8469836.629999999</v>
      </c>
      <c r="I5" s="143">
        <f t="shared" ref="I5:I10" si="3">D5-D4</f>
        <v>754966.29999999702</v>
      </c>
      <c r="J5" s="22"/>
    </row>
    <row r="6" spans="1:11">
      <c r="A6" s="142">
        <v>2018</v>
      </c>
      <c r="B6" s="143">
        <v>36133449.119999997</v>
      </c>
      <c r="C6" s="143"/>
      <c r="D6" s="143">
        <v>48422819.990000002</v>
      </c>
      <c r="E6" s="143">
        <v>4226074.43</v>
      </c>
      <c r="F6" s="22">
        <f t="shared" si="1"/>
        <v>4226074.43</v>
      </c>
      <c r="G6" s="22">
        <f t="shared" si="2"/>
        <v>0</v>
      </c>
      <c r="H6" s="143">
        <f t="shared" si="0"/>
        <v>-12289370.870000001</v>
      </c>
      <c r="I6" s="143">
        <f t="shared" si="3"/>
        <v>6716971.3500000015</v>
      </c>
      <c r="J6" s="22"/>
      <c r="K6" t="s">
        <v>504</v>
      </c>
    </row>
    <row r="7" spans="1:11">
      <c r="A7" s="142">
        <v>2019</v>
      </c>
      <c r="B7" s="143">
        <v>36868754</v>
      </c>
      <c r="D7" s="143">
        <v>46304339.170000002</v>
      </c>
      <c r="E7" s="143">
        <v>-5209510.74</v>
      </c>
      <c r="F7" s="22">
        <f t="shared" si="1"/>
        <v>-5209510.7400000021</v>
      </c>
      <c r="G7" s="22">
        <f t="shared" si="2"/>
        <v>0</v>
      </c>
      <c r="H7" s="143">
        <f t="shared" si="0"/>
        <v>-9435585.1699999999</v>
      </c>
      <c r="I7" s="143">
        <f t="shared" si="3"/>
        <v>-2118480.8200000003</v>
      </c>
      <c r="J7" s="22"/>
    </row>
    <row r="8" spans="1:11">
      <c r="A8" s="142">
        <v>2020</v>
      </c>
      <c r="B8" s="286">
        <v>36027029.895000003</v>
      </c>
      <c r="C8" s="143">
        <v>17502999.999999993</v>
      </c>
      <c r="D8" s="143">
        <v>55276042.909999996</v>
      </c>
      <c r="E8" s="149">
        <f>E7+B8+C8-D8</f>
        <v>-6955523.7550000027</v>
      </c>
      <c r="F8" s="22">
        <f t="shared" si="1"/>
        <v>-24458523.754999995</v>
      </c>
      <c r="G8" s="22">
        <f t="shared" si="2"/>
        <v>17502999.999999993</v>
      </c>
      <c r="H8" s="143">
        <f t="shared" si="0"/>
        <v>-1746013.0150000025</v>
      </c>
      <c r="I8" s="143">
        <f t="shared" si="3"/>
        <v>8971703.7399999946</v>
      </c>
      <c r="J8" s="22"/>
      <c r="K8" s="149"/>
    </row>
    <row r="9" spans="1:11">
      <c r="A9" s="142">
        <v>2021</v>
      </c>
      <c r="B9" s="143">
        <v>35110164.158</v>
      </c>
      <c r="C9" s="143">
        <f>16282978.5+14148803.88</f>
        <v>30431782.380000003</v>
      </c>
      <c r="D9" s="149">
        <v>55083652.910000004</v>
      </c>
      <c r="E9" s="149">
        <f>E8+B9+C9-D9</f>
        <v>3502769.8729999959</v>
      </c>
      <c r="F9" s="22">
        <f t="shared" si="1"/>
        <v>-26929012.507000007</v>
      </c>
      <c r="G9" s="22">
        <f t="shared" si="2"/>
        <v>30431782.380000003</v>
      </c>
      <c r="H9" s="143">
        <f t="shared" si="0"/>
        <v>10458293.627999999</v>
      </c>
      <c r="I9" s="143">
        <f t="shared" si="3"/>
        <v>-192389.99999999255</v>
      </c>
      <c r="J9" s="22"/>
    </row>
    <row r="10" spans="1:11">
      <c r="A10" s="142">
        <v>2022</v>
      </c>
      <c r="B10" s="288">
        <f>Worksheet!H104</f>
        <v>56471448.000000015</v>
      </c>
      <c r="C10" s="143"/>
      <c r="D10" s="288">
        <f>Worksheet!Q104</f>
        <v>47278152.294</v>
      </c>
      <c r="E10" s="288">
        <f>E9+B10+C10-D10</f>
        <v>12696065.579000011</v>
      </c>
      <c r="F10" s="22"/>
      <c r="G10" s="22"/>
      <c r="H10" s="288">
        <f t="shared" si="0"/>
        <v>9193295.7060000151</v>
      </c>
      <c r="I10" s="288">
        <f t="shared" si="3"/>
        <v>-7805500.6160000041</v>
      </c>
      <c r="J10" s="22"/>
    </row>
    <row r="11" spans="1:11">
      <c r="B11" s="287" t="s">
        <v>505</v>
      </c>
      <c r="D11" s="544" t="s">
        <v>506</v>
      </c>
      <c r="E11" s="544"/>
      <c r="F11" s="544"/>
      <c r="G11" s="544"/>
      <c r="H11" s="544"/>
      <c r="I11" s="544"/>
    </row>
    <row r="15" spans="1:11">
      <c r="A15" t="s">
        <v>502</v>
      </c>
    </row>
    <row r="16" spans="1:11" ht="30">
      <c r="A16" s="141" t="s">
        <v>347</v>
      </c>
      <c r="B16" s="141" t="s">
        <v>348</v>
      </c>
      <c r="C16" s="285" t="s">
        <v>503</v>
      </c>
      <c r="D16" s="141" t="s">
        <v>349</v>
      </c>
      <c r="E16" s="141" t="s">
        <v>350</v>
      </c>
      <c r="F16" s="146" t="s">
        <v>351</v>
      </c>
      <c r="G16" s="146" t="s">
        <v>352</v>
      </c>
      <c r="H16" s="147" t="s">
        <v>353</v>
      </c>
      <c r="I16" s="147" t="s">
        <v>354</v>
      </c>
    </row>
    <row r="17" spans="1:9">
      <c r="A17" s="144">
        <v>2015</v>
      </c>
      <c r="B17" s="145"/>
      <c r="C17" s="145"/>
      <c r="D17" s="145"/>
      <c r="E17" s="145">
        <v>32819164.27</v>
      </c>
      <c r="H17" s="142"/>
      <c r="I17" s="142"/>
    </row>
    <row r="18" spans="1:9">
      <c r="A18" s="144">
        <v>2016</v>
      </c>
      <c r="B18" s="145">
        <v>33117000</v>
      </c>
      <c r="C18" s="145"/>
      <c r="D18" s="145">
        <v>40950882.340000004</v>
      </c>
      <c r="E18" s="145">
        <v>24985281.93</v>
      </c>
      <c r="F18" s="22">
        <f>E17+B18-D18</f>
        <v>24985281.929999992</v>
      </c>
      <c r="G18" s="22">
        <f>E18-F18</f>
        <v>0</v>
      </c>
      <c r="H18" s="143">
        <f t="shared" ref="H18:H23" si="4">E18-E17</f>
        <v>-7833882.3399999999</v>
      </c>
      <c r="I18" s="143"/>
    </row>
    <row r="19" spans="1:9">
      <c r="A19" s="142">
        <v>2017</v>
      </c>
      <c r="B19" s="143">
        <v>33236012</v>
      </c>
      <c r="C19" s="143"/>
      <c r="D19" s="143">
        <v>41705848.640000001</v>
      </c>
      <c r="E19" s="143">
        <v>16515445.300000001</v>
      </c>
      <c r="F19" s="22">
        <f t="shared" ref="F19:F24" si="5">E18+B19-D19</f>
        <v>16515445.289999999</v>
      </c>
      <c r="G19" s="22">
        <f t="shared" ref="G19:G24" si="6">E19-F19</f>
        <v>1.0000001639127731E-2</v>
      </c>
      <c r="H19" s="143">
        <f t="shared" si="4"/>
        <v>-8469836.629999999</v>
      </c>
      <c r="I19" s="143">
        <f>D19-D18</f>
        <v>754966.29999999702</v>
      </c>
    </row>
    <row r="20" spans="1:9">
      <c r="A20" s="142">
        <v>2018</v>
      </c>
      <c r="B20" s="143">
        <v>36133449.119999997</v>
      </c>
      <c r="C20" s="143"/>
      <c r="D20" s="143">
        <v>48422819.990000002</v>
      </c>
      <c r="E20" s="143">
        <v>4226074.43</v>
      </c>
      <c r="F20" s="22">
        <f t="shared" si="5"/>
        <v>4226074.43</v>
      </c>
      <c r="G20" s="22">
        <f t="shared" si="6"/>
        <v>0</v>
      </c>
      <c r="H20" s="143">
        <f t="shared" si="4"/>
        <v>-12289370.870000001</v>
      </c>
      <c r="I20" s="143">
        <f>D20-D19</f>
        <v>6716971.3500000015</v>
      </c>
    </row>
    <row r="21" spans="1:9">
      <c r="A21" s="142">
        <v>2019</v>
      </c>
      <c r="B21" s="143">
        <v>36868754</v>
      </c>
      <c r="C21" s="143"/>
      <c r="D21" s="143">
        <v>46304339.170000002</v>
      </c>
      <c r="E21" s="143">
        <v>-5209510.74</v>
      </c>
      <c r="F21" s="22">
        <f t="shared" si="5"/>
        <v>-5209510.7400000021</v>
      </c>
      <c r="G21" s="22">
        <f t="shared" si="6"/>
        <v>0</v>
      </c>
      <c r="H21" s="143">
        <f t="shared" si="4"/>
        <v>-9435585.1699999999</v>
      </c>
      <c r="I21" s="143">
        <f>D21-D20</f>
        <v>-2118480.8200000003</v>
      </c>
    </row>
    <row r="22" spans="1:9">
      <c r="A22" s="142">
        <v>2020</v>
      </c>
      <c r="B22" s="286">
        <v>36027029.895000003</v>
      </c>
      <c r="C22" s="143">
        <v>17502999.999999993</v>
      </c>
      <c r="D22" s="143">
        <v>55276042.909999996</v>
      </c>
      <c r="E22" s="149">
        <f>E21+B22+C22-D22</f>
        <v>-6955523.7550000027</v>
      </c>
      <c r="F22" s="22">
        <f t="shared" si="5"/>
        <v>-24458523.754999995</v>
      </c>
      <c r="G22" s="22">
        <f t="shared" si="6"/>
        <v>17502999.999999993</v>
      </c>
      <c r="H22" s="143">
        <f t="shared" si="4"/>
        <v>-1746013.0150000025</v>
      </c>
      <c r="I22" s="143">
        <f>D22-D21</f>
        <v>8971703.7399999946</v>
      </c>
    </row>
    <row r="23" spans="1:9">
      <c r="A23" s="142">
        <v>2021</v>
      </c>
      <c r="B23" s="143">
        <v>35110164.158</v>
      </c>
      <c r="C23" s="143">
        <f>16282978.5+14148803.88</f>
        <v>30431782.380000003</v>
      </c>
      <c r="D23" s="148">
        <v>91731384</v>
      </c>
      <c r="E23" s="148">
        <f>E22+B23+C23-D23</f>
        <v>-33144961.217</v>
      </c>
      <c r="F23" s="22">
        <f t="shared" si="5"/>
        <v>-63576743.597000003</v>
      </c>
      <c r="G23" s="22">
        <f t="shared" si="6"/>
        <v>30431782.380000003</v>
      </c>
      <c r="H23" s="143">
        <f t="shared" si="4"/>
        <v>-26189437.461999997</v>
      </c>
      <c r="I23" s="143">
        <f>D23-D22</f>
        <v>36455341.090000004</v>
      </c>
    </row>
    <row r="24" spans="1:9">
      <c r="D24" t="s">
        <v>355</v>
      </c>
      <c r="F24" s="22" t="e">
        <f t="shared" si="5"/>
        <v>#VALUE!</v>
      </c>
      <c r="G24" s="22" t="e">
        <f t="shared" si="6"/>
        <v>#VALUE!</v>
      </c>
      <c r="I24" s="143"/>
    </row>
    <row r="27" spans="1:9" ht="30">
      <c r="A27" s="141" t="s">
        <v>347</v>
      </c>
      <c r="B27" s="141" t="s">
        <v>348</v>
      </c>
      <c r="C27" s="285" t="s">
        <v>503</v>
      </c>
      <c r="D27" s="141" t="s">
        <v>349</v>
      </c>
      <c r="E27" s="141" t="s">
        <v>350</v>
      </c>
      <c r="F27" s="146" t="s">
        <v>351</v>
      </c>
      <c r="G27" s="146" t="s">
        <v>352</v>
      </c>
      <c r="H27" s="147" t="s">
        <v>353</v>
      </c>
      <c r="I27" s="147" t="s">
        <v>354</v>
      </c>
    </row>
    <row r="28" spans="1:9">
      <c r="A28" s="144">
        <v>2015</v>
      </c>
      <c r="B28" s="145"/>
      <c r="C28" s="145"/>
      <c r="D28" s="145"/>
      <c r="E28" s="145">
        <v>32819164.27</v>
      </c>
      <c r="H28" s="142"/>
      <c r="I28" s="142"/>
    </row>
    <row r="29" spans="1:9">
      <c r="A29" s="144">
        <v>2016</v>
      </c>
      <c r="B29" s="145">
        <v>33117000</v>
      </c>
      <c r="C29" s="145"/>
      <c r="D29" s="145">
        <v>40950882.340000004</v>
      </c>
      <c r="E29" s="145">
        <v>24985281.93</v>
      </c>
      <c r="F29" s="22">
        <f>E28+B29-D29</f>
        <v>24985281.929999992</v>
      </c>
      <c r="G29" s="22">
        <f>E29-F29</f>
        <v>0</v>
      </c>
      <c r="H29" s="143">
        <f t="shared" ref="H29:H34" si="7">E29-E28</f>
        <v>-7833882.3399999999</v>
      </c>
      <c r="I29" s="143"/>
    </row>
    <row r="30" spans="1:9">
      <c r="A30" s="142">
        <v>2017</v>
      </c>
      <c r="B30" s="143">
        <v>33236012</v>
      </c>
      <c r="C30" s="143"/>
      <c r="D30" s="143">
        <v>41705848.640000001</v>
      </c>
      <c r="E30" s="143">
        <v>16515445.300000001</v>
      </c>
      <c r="F30" s="22">
        <f t="shared" ref="F30:F35" si="8">E29+B30-D30</f>
        <v>16515445.289999999</v>
      </c>
      <c r="G30" s="22">
        <f t="shared" ref="G30:G35" si="9">E30-F30</f>
        <v>1.0000001639127731E-2</v>
      </c>
      <c r="H30" s="143">
        <f t="shared" si="7"/>
        <v>-8469836.629999999</v>
      </c>
      <c r="I30" s="143">
        <f>D30-D29</f>
        <v>754966.29999999702</v>
      </c>
    </row>
    <row r="31" spans="1:9">
      <c r="A31" s="142">
        <v>2018</v>
      </c>
      <c r="B31" s="143">
        <v>36133449.119999997</v>
      </c>
      <c r="C31" s="143"/>
      <c r="D31" s="143">
        <v>48422819.990000002</v>
      </c>
      <c r="E31" s="143">
        <v>4226074.43</v>
      </c>
      <c r="F31" s="22">
        <f t="shared" si="8"/>
        <v>4226074.43</v>
      </c>
      <c r="G31" s="22">
        <f t="shared" si="9"/>
        <v>0</v>
      </c>
      <c r="H31" s="143">
        <f t="shared" si="7"/>
        <v>-12289370.870000001</v>
      </c>
      <c r="I31" s="143">
        <f>D31-D30</f>
        <v>6716971.3500000015</v>
      </c>
    </row>
    <row r="32" spans="1:9">
      <c r="A32" s="142">
        <v>2019</v>
      </c>
      <c r="B32" s="143">
        <v>36868754</v>
      </c>
      <c r="C32" s="143"/>
      <c r="D32" s="143">
        <v>46304339.170000002</v>
      </c>
      <c r="E32" s="143">
        <v>-5209510.74</v>
      </c>
      <c r="F32" s="22">
        <f t="shared" si="8"/>
        <v>-5209510.7400000021</v>
      </c>
      <c r="G32" s="22">
        <f t="shared" si="9"/>
        <v>0</v>
      </c>
      <c r="H32" s="143">
        <f t="shared" si="7"/>
        <v>-9435585.1699999999</v>
      </c>
      <c r="I32" s="143">
        <f>D32-D31</f>
        <v>-2118480.8200000003</v>
      </c>
    </row>
    <row r="33" spans="1:9">
      <c r="A33" s="142">
        <v>2020</v>
      </c>
      <c r="B33" s="286">
        <v>36027029.895000003</v>
      </c>
      <c r="C33" s="143">
        <v>17502999.999999993</v>
      </c>
      <c r="D33" s="143">
        <v>55276042.909999996</v>
      </c>
      <c r="E33" s="149">
        <f>E32+B33+C33-D33</f>
        <v>-6955523.7550000027</v>
      </c>
      <c r="F33" s="22">
        <f t="shared" si="8"/>
        <v>-24458523.754999995</v>
      </c>
      <c r="G33" s="22">
        <f t="shared" si="9"/>
        <v>17502999.999999993</v>
      </c>
      <c r="H33" s="143">
        <f t="shared" si="7"/>
        <v>-1746013.0150000025</v>
      </c>
      <c r="I33" s="143">
        <f>D33-D32</f>
        <v>8971703.7399999946</v>
      </c>
    </row>
    <row r="34" spans="1:9">
      <c r="A34" s="142">
        <v>2021</v>
      </c>
      <c r="B34" s="143">
        <v>35110164.158</v>
      </c>
      <c r="C34" s="143">
        <f>16282978.5+14148803.88</f>
        <v>30431782.380000003</v>
      </c>
      <c r="D34" s="148">
        <f>D23*0.6</f>
        <v>55038830.399999999</v>
      </c>
      <c r="E34" s="148">
        <f>E33+B34+C34-D34</f>
        <v>3547592.3830000013</v>
      </c>
      <c r="F34" s="22">
        <f t="shared" si="8"/>
        <v>-26884189.997000001</v>
      </c>
      <c r="G34" s="22">
        <f t="shared" si="9"/>
        <v>30431782.380000003</v>
      </c>
      <c r="H34" s="143">
        <f t="shared" si="7"/>
        <v>10503116.138000004</v>
      </c>
      <c r="I34" s="143">
        <f>D34-D33</f>
        <v>-237212.50999999791</v>
      </c>
    </row>
    <row r="35" spans="1:9">
      <c r="D35" t="s">
        <v>356</v>
      </c>
      <c r="F35" s="22" t="e">
        <f t="shared" si="8"/>
        <v>#VALUE!</v>
      </c>
      <c r="G35" s="22" t="e">
        <f t="shared" si="9"/>
        <v>#VALUE!</v>
      </c>
      <c r="I35" s="14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2024-01-05T17:14:59Z</dcterms:modified>
</cp:coreProperties>
</file>